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1595"/>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Exhibit I" sheetId="23" r:id="rId23"/>
    <sheet name="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G'!$A$2:$AL$123</definedName>
    <definedName name="Exh_G_var" localSheetId="20">'Exhibit G Federal'!$A$2:$AL$91</definedName>
    <definedName name="Exh_G_var" localSheetId="19">'Exhibit G state'!$A$2:$AL$121</definedName>
    <definedName name="EXHIBIT_E" localSheetId="14">'EXHIBIT E '!$A$3:$AK$59</definedName>
    <definedName name="EXHIBITA" localSheetId="2">'Exh A Supp'!$A$3:$AC$62</definedName>
    <definedName name="EXHIBITAvar" localSheetId="2">'Exh A Supp'!$A$3:$AC$62</definedName>
    <definedName name="ExhibitB" localSheetId="5">'Exh C'!$A$3:$Q$46</definedName>
    <definedName name="EXHL" localSheetId="40">'Appendix E'!$A$2:$AA$39</definedName>
    <definedName name="EXHL" localSheetId="28">'EXHIBIT M'!$A$3:$AF$39</definedName>
    <definedName name="Medicaid" localSheetId="39">'Medicaid Disp Share'!$B$5:$G$50</definedName>
    <definedName name="Page_1" localSheetId="3">Footnotes!$A$3:$S$79</definedName>
    <definedName name="Page_2" localSheetId="3">Footnotes!$A$81:$S$92</definedName>
    <definedName name="page1" localSheetId="32">'Sch 4'!$A$3:$J$21</definedName>
    <definedName name="page1" localSheetId="0">'Table of Contents'!$A$1:$J$100</definedName>
    <definedName name="_xlnm.Print_Area" localSheetId="40">'Appendix E'!$A$2:$AA$50</definedName>
    <definedName name="_xlnm.Print_Area" localSheetId="41">'Appendix F'!$A$2:$P$291</definedName>
    <definedName name="_xlnm.Print_Area" localSheetId="42">'Appendix G'!$A$3:$Z$60</definedName>
    <definedName name="_xlnm.Print_Area" localSheetId="16">'Cash Flow State Operating'!$A$3:$AJ$147</definedName>
    <definedName name="_xlnm.Print_Area" localSheetId="15">'Cashflow Governmental'!$A$3:$AJ$146</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Revenue'!$A$3:$O$46</definedName>
    <definedName name="_xlnm.Print_Area" localSheetId="10">'Exh D Special Revenue State Fed'!$A$3:$X$46</definedName>
    <definedName name="_xlnm.Print_Area" localSheetId="7">'Exh D State Operating'!$A$3:$K$54</definedName>
    <definedName name="_xlnm.Print_Area" localSheetId="6">'Exh D-Governmental  '!$A$3:$K$54</definedName>
    <definedName name="_xlnm.Print_Area" localSheetId="1">'Exhibit A'!$A$3:$AI$60</definedName>
    <definedName name="_xlnm.Print_Area" localSheetId="14">'EXHIBIT E '!$A$3:$AK$59</definedName>
    <definedName name="_xlnm.Print_Area" localSheetId="17">'Exhibit F'!$B$14:$AK$145</definedName>
    <definedName name="_xlnm.Print_Area" localSheetId="18">'Exhibit G'!$B$14:$AL$127</definedName>
    <definedName name="_xlnm.Print_Area" localSheetId="20">'Exhibit G Federal'!$B$13:$AL$94</definedName>
    <definedName name="_xlnm.Print_Area" localSheetId="19">'Exhibit G state'!$B$13:$AL$125</definedName>
    <definedName name="_xlnm.Print_Area" localSheetId="21">'Exhibit H'!$A$12:$AI$75</definedName>
    <definedName name="_xlnm.Print_Area" localSheetId="22">'Exhibit I'!$B$15:$AN$105</definedName>
    <definedName name="_xlnm.Print_Area" localSheetId="24">'Exhibit I Federal'!$B$14:$AL$85</definedName>
    <definedName name="_xlnm.Print_Area" localSheetId="23">'Exhibit I State'!$B$14:$AL$103</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Footnotes!$A$2:$P$60</definedName>
    <definedName name="_xlnm.Print_Area" localSheetId="36">'HCRA '!$A$3:$Z$62</definedName>
    <definedName name="_xlnm.Print_Area" localSheetId="37">'HCRA PROG DISB'!$A$3:$H$102</definedName>
    <definedName name="_xlnm.Print_Area" localSheetId="39">'Medicaid Disp Share'!$B$2:$G$53</definedName>
    <definedName name="_xlnm.Print_Area" localSheetId="38">'Public Goods '!$A$3:$F$54</definedName>
    <definedName name="_xlnm.Print_Area" localSheetId="29">'Sch 1 '!$A$3:$L$157</definedName>
    <definedName name="_xlnm.Print_Area" localSheetId="30">'Sch 2 '!$A$3:$K$45</definedName>
    <definedName name="_xlnm.Print_Area" localSheetId="31">'Sch 3 '!$A$2:$M$49</definedName>
    <definedName name="_xlnm.Print_Area" localSheetId="32">'Sch 4'!$A$3:$J$38</definedName>
    <definedName name="_xlnm.Print_Area" localSheetId="33">'Sch 5 '!$A$3:$S$67</definedName>
    <definedName name="_xlnm.Print_Area" localSheetId="34">'Sch 5a'!$B$3:$W$46</definedName>
    <definedName name="_xlnm.Print_Area" localSheetId="35">'Sch 6'!$A$3:$J$37</definedName>
    <definedName name="_xlnm.Print_Area" localSheetId="0">'Table of Contents'!$A$1:$J$64</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F'!$5:$13</definedName>
    <definedName name="_xlnm.Print_Titles" localSheetId="18">'Exhibit G'!$4:$13</definedName>
    <definedName name="_xlnm.Print_Titles" localSheetId="20">'Exhibit G Federal'!$3:$12</definedName>
    <definedName name="_xlnm.Print_Titles" localSheetId="19">'Exhibit G state'!$3:$12</definedName>
    <definedName name="_xlnm.Print_Titles" localSheetId="21">'Exhibit H'!$3:$10</definedName>
    <definedName name="_xlnm.Print_Titles" localSheetId="22">'Exhibit I'!$3:$13</definedName>
    <definedName name="_xlnm.Print_Titles" localSheetId="24">'Exhibit I Federal'!$3:$13</definedName>
    <definedName name="_xlnm.Print_Titles" localSheetId="23">'Exhibit I State'!$3:$13</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'!$A$3:$AK$59</definedName>
    <definedName name="variance" localSheetId="42">'Appendix G'!$A$3:$X$45</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DC93707_9367_4260_BDCF_F5F59CF54468_.wvu.PrintArea" localSheetId="34" hidden="1">'Sch 5a'!$B$3:$W$46</definedName>
    <definedName name="Z_0F53A47B_061C_44B9_B148_CC55070FAB6E_.wvu.PrintTitles" localSheetId="29" hidden="1">'Sch 1 '!$3:$11</definedName>
    <definedName name="Z_0F53A47B_061C_44B9_B148_CC55070FAB6E_.wvu.Rows" localSheetId="29" hidden="1">'Sch 1 '!#REF!</definedName>
    <definedName name="Z_13BA7D7F_A933_47AA_AD0D_A2E7D4E4E0D7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Governmental'!$A$3:$AJ$149</definedName>
    <definedName name="Z_17BB73E0_1CF4_467E_9487_3D1C86AF6DB9_.wvu.FilterData" localSheetId="8" hidden="1">'Exh D General Fund  '!$A$3:$A$7</definedName>
    <definedName name="Z_1AC73F00_FFC6_4A45_B38D_FF42E0186479_.wvu.FilterData" localSheetId="11" hidden="1">'Exh D Debt Service'!$A$3:$A$7</definedName>
    <definedName name="Z_1CC4ED98_AA43_4114_B2B3_B95664F86673_.wvu.PrintArea" localSheetId="14" hidden="1">'EXHIBIT E '!$A$3:$AK$59</definedName>
    <definedName name="Z_1D1F1A01_30B2_4981_9EC4_1E239EF5CA4C_.wvu.PrintArea" localSheetId="24" hidden="1">'Exhibit I Federal'!$B$3:$AL$85</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7D0D2B0_D728_41CE_8CDF_B71D5DA88E20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'!$A$3:$AK$59</definedName>
    <definedName name="Z_2F419F63_BD3C_4339_BEB3_24DF0825A630_.wvu.FilterData" localSheetId="8" hidden="1">'Exh D General Fund  '!$A$3:$A$7</definedName>
    <definedName name="Z_2FF96BB6_6112_4975_B54B_929538B05AD7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'!$3:$11</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'Exhibit I State'!$B$3:$AL$103</definedName>
    <definedName name="Z_39DB2D6C_C362_45F4_A2F1_C59B9CF1777D_.wvu.Rows" localSheetId="23" hidden="1">'Exhibit I State'!#REF!</definedName>
    <definedName name="Z_3A30DD21_678A_4259_B05F_F71CE31D5B74_.wvu.FilterData" localSheetId="8" hidden="1">'Exh D General Fund  '!$A$3:$A$7</definedName>
    <definedName name="Z_3CC7CC25_E0F5_49E1_B704_0EB8513444E7_.wvu.FilterData" localSheetId="8" hidden="1">'Exh D General Fund  '!$A$3:$A$7</definedName>
    <definedName name="Z_3E09C753_C94C_4589_BB7F_28456297637B_.wvu.PrintArea" localSheetId="14" hidden="1">'EXHIBIT E '!$A$3:$AK$59</definedName>
    <definedName name="Z_40B04F56_1B22_4395_91DD_384E48A06F95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'!$A$3:$AK$59</definedName>
    <definedName name="Z_4C313DA7_E426_4FE0_B22C_6CE7D5DE7F31_.wvu.FilterData" localSheetId="11" hidden="1">'Exh D Debt Service'!$A$3:$A$7</definedName>
    <definedName name="Z_4C313DA7_E426_4FE0_B22C_6CE7D5DE7F31_.wvu.FilterData" localSheetId="8" hidden="1">'Exh D General Fund  '!$A$3:$A$7</definedName>
    <definedName name="Z_4C5DC936_C451_4ECB_8EE3_1B14AD828160_.wvu.Cols" localSheetId="15" hidden="1">'Cashflow Governmental'!#REF!</definedName>
    <definedName name="Z_4C5DC936_C451_4ECB_8EE3_1B14AD828160_.wvu.PrintArea" localSheetId="15" hidden="1">'Cashflow Governmental'!$A$3:$AJ$149</definedName>
    <definedName name="Z_53181B1F_F32D_42B5_AEB6_ADB3450485A5_.wvu.FilterData" localSheetId="11" hidden="1">'Exh D Debt Service'!$A$3:$A$7</definedName>
    <definedName name="Z_545D46DE_DC9D_4815_85B0_08B7B736CDBF_.wvu.FilterData" localSheetId="8" hidden="1">'Exh D General Fund  '!$A$3:$A$7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Federal'!$B$3:$AL$85</definedName>
    <definedName name="Z_629B2C3B_DA5A_4280_9F46_977F6E397A5D_.wvu.FilterData" localSheetId="11" hidden="1">'Exh D Debt Service'!$A$3:$A$7</definedName>
    <definedName name="Z_629B2C3B_DA5A_4280_9F46_977F6E397A5D_.wvu.FilterData" localSheetId="8" hidden="1">'Exh D General Fund  '!$A$3:$A$7</definedName>
    <definedName name="Z_63934AF3_239F_447C_A783_B5936B1D7BDA_.wvu.FilterData" localSheetId="8" hidden="1">'Exh D General Fund  '!$A$3:$A$7</definedName>
    <definedName name="Z_63A58C72_B007_4E3F_A2C0_E62EBD5B7EF8_.wvu.PrintArea" localSheetId="14" hidden="1">'EXHIBIT E '!$A$3:$AK$59</definedName>
    <definedName name="Z_64300EA2_43D0_4FBF_9089_8112D939C55C_.wvu.PrintArea" localSheetId="42" hidden="1">'Appendix G'!$A$3:$Z$60</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1C087B8_8BB1_41B9_843F_11E56D036C5F_.wvu.FilterData" localSheetId="8" hidden="1">'Exh D General Fund  '!$A$3:$A$7</definedName>
    <definedName name="Z_7AE64DEF_56FD_44C8_9F38_A2F981B8F883_.wvu.PrintArea" localSheetId="23" hidden="1">'Exhibit I State'!$B$3:$AL$103</definedName>
    <definedName name="Z_7AE64DEF_56FD_44C8_9F38_A2F981B8F883_.wvu.Rows" localSheetId="23" hidden="1">'Exhibit I State'!#REF!</definedName>
    <definedName name="Z_80876A9A_0E13_4169_8EC2_4642160C38DB_.wvu.PrintArea" localSheetId="1" hidden="1">'Exhibit A'!$A$3:$AI$60</definedName>
    <definedName name="Z_8207DCE3_1947_4DC9_AEB6_962F9248FA86_.wvu.FilterData" localSheetId="8" hidden="1">'Exh D General Fund  '!$A$3:$A$7</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40" hidden="1">'Appendix E'!$A$2:$AA$50</definedName>
    <definedName name="Z_8EE6466D_211E_4E05_9F84_CC0A1C6F79F4_.wvu.PrintArea" localSheetId="41" hidden="1">'Appendix F'!$A$2:$P$291</definedName>
    <definedName name="Z_8EE6466D_211E_4E05_9F84_CC0A1C6F79F4_.wvu.PrintArea" localSheetId="42" hidden="1">'Appendix G'!$A$3:$Z$60</definedName>
    <definedName name="Z_8EE6466D_211E_4E05_9F84_CC0A1C6F79F4_.wvu.PrintArea" localSheetId="16" hidden="1">'Cash Flow State Operating'!$A$3:$AJ$146</definedName>
    <definedName name="Z_8EE6466D_211E_4E05_9F84_CC0A1C6F79F4_.wvu.PrintArea" localSheetId="15" hidden="1">'Cashflow Governmental'!$A$16:$AJ$146</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Projects'!$A$3:$O$45</definedName>
    <definedName name="Z_8EE6466D_211E_4E05_9F84_CC0A1C6F79F4_.wvu.PrintArea" localSheetId="13" hidden="1">'Exh D Captl Projects State Fed'!$A$3:$AA$45</definedName>
    <definedName name="Z_8EE6466D_211E_4E05_9F84_CC0A1C6F79F4_.wvu.PrintArea" localSheetId="11" hidden="1">'Exh D Debt Service'!$A$3:$K$43</definedName>
    <definedName name="Z_8EE6466D_211E_4E05_9F84_CC0A1C6F79F4_.wvu.PrintArea" localSheetId="8" hidden="1">'Exh D General Fund  '!$A$3:$K$55</definedName>
    <definedName name="Z_8EE6466D_211E_4E05_9F84_CC0A1C6F79F4_.wvu.PrintArea" localSheetId="9" hidden="1">'Exh D Special Revenue'!$A$3:$O$46</definedName>
    <definedName name="Z_8EE6466D_211E_4E05_9F84_CC0A1C6F79F4_.wvu.PrintArea" localSheetId="10" hidden="1">'Exh D Special Revenue State Fed'!$A$3:$AB$44</definedName>
    <definedName name="Z_8EE6466D_211E_4E05_9F84_CC0A1C6F79F4_.wvu.PrintArea" localSheetId="7" hidden="1">'Exh D State Operating'!$A$3:$K$54</definedName>
    <definedName name="Z_8EE6466D_211E_4E05_9F84_CC0A1C6F79F4_.wvu.PrintArea" localSheetId="6" hidden="1">'Exh D-Governmental  '!$A$3:$K$54</definedName>
    <definedName name="Z_8EE6466D_211E_4E05_9F84_CC0A1C6F79F4_.wvu.PrintArea" localSheetId="1" hidden="1">'Exhibit A'!$A$3:$AI$60</definedName>
    <definedName name="Z_8EE6466D_211E_4E05_9F84_CC0A1C6F79F4_.wvu.PrintArea" localSheetId="14" hidden="1">'EXHIBIT E '!$A$3:$AK$59</definedName>
    <definedName name="Z_8EE6466D_211E_4E05_9F84_CC0A1C6F79F4_.wvu.PrintArea" localSheetId="17" hidden="1">'Exhibit F'!$A$2:$AK$142</definedName>
    <definedName name="Z_8EE6466D_211E_4E05_9F84_CC0A1C6F79F4_.wvu.PrintArea" localSheetId="18" hidden="1">'Exhibit G'!$A$2:$AL$124</definedName>
    <definedName name="Z_8EE6466D_211E_4E05_9F84_CC0A1C6F79F4_.wvu.PrintArea" localSheetId="20" hidden="1">'Exhibit G Federal'!$B$13:$AL$94</definedName>
    <definedName name="Z_8EE6466D_211E_4E05_9F84_CC0A1C6F79F4_.wvu.PrintArea" localSheetId="19" hidden="1">'Exhibit G state'!$B$15:$AL$125</definedName>
    <definedName name="Z_8EE6466D_211E_4E05_9F84_CC0A1C6F79F4_.wvu.PrintArea" localSheetId="21" hidden="1">'Exhibit H'!$A$12:$AI$75</definedName>
    <definedName name="Z_8EE6466D_211E_4E05_9F84_CC0A1C6F79F4_.wvu.PrintArea" localSheetId="22" hidden="1">'Exhibit I'!$B$15:$AN$105</definedName>
    <definedName name="Z_8EE6466D_211E_4E05_9F84_CC0A1C6F79F4_.wvu.PrintArea" localSheetId="24" hidden="1">'Exhibit I Federal'!$B$16:$AL$85</definedName>
    <definedName name="Z_8EE6466D_211E_4E05_9F84_CC0A1C6F79F4_.wvu.PrintArea" localSheetId="23" hidden="1">'Exhibit I State'!$B$15:$AL$103</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Footnotes!$A$2:$Q$79</definedName>
    <definedName name="Z_8EE6466D_211E_4E05_9F84_CC0A1C6F79F4_.wvu.PrintArea" localSheetId="36" hidden="1">'HCRA '!$A$3:$Z$62</definedName>
    <definedName name="Z_8EE6466D_211E_4E05_9F84_CC0A1C6F79F4_.wvu.PrintArea" localSheetId="37" hidden="1">'HCRA PROG DISB'!$A$3:$G$103</definedName>
    <definedName name="Z_8EE6466D_211E_4E05_9F84_CC0A1C6F79F4_.wvu.PrintArea" localSheetId="39" hidden="1">'Medicaid Disp Share'!$B$2:$E$53</definedName>
    <definedName name="Z_8EE6466D_211E_4E05_9F84_CC0A1C6F79F4_.wvu.PrintArea" localSheetId="38" hidden="1">'Public Goods '!$A$3:$D$54</definedName>
    <definedName name="Z_8EE6466D_211E_4E05_9F84_CC0A1C6F79F4_.wvu.PrintArea" localSheetId="29" hidden="1">'Sch 1 '!$A$3:$L$157</definedName>
    <definedName name="Z_8EE6466D_211E_4E05_9F84_CC0A1C6F79F4_.wvu.PrintArea" localSheetId="30" hidden="1">'Sch 2 '!$A$3:$K$45</definedName>
    <definedName name="Z_8EE6466D_211E_4E05_9F84_CC0A1C6F79F4_.wvu.PrintArea" localSheetId="31" hidden="1">'Sch 3 '!$A$2:$M$49</definedName>
    <definedName name="Z_8EE6466D_211E_4E05_9F84_CC0A1C6F79F4_.wvu.PrintArea" localSheetId="32" hidden="1">'Sch 4'!$A$3:$J$38</definedName>
    <definedName name="Z_8EE6466D_211E_4E05_9F84_CC0A1C6F79F4_.wvu.PrintArea" localSheetId="33" hidden="1">'Sch 5 '!$A$3:$Q$67</definedName>
    <definedName name="Z_8EE6466D_211E_4E05_9F84_CC0A1C6F79F4_.wvu.PrintArea" localSheetId="34" hidden="1">'Sch 5a'!$B$3:$W$46</definedName>
    <definedName name="Z_8EE6466D_211E_4E05_9F84_CC0A1C6F79F4_.wvu.PrintArea" localSheetId="35" hidden="1">'Sch 6'!$A$3:$J$37</definedName>
    <definedName name="Z_8EE6466D_211E_4E05_9F84_CC0A1C6F79F4_.wvu.PrintArea" localSheetId="0" hidden="1">'Table of Contents'!$A$1:$J$64</definedName>
    <definedName name="Z_8EE6466D_211E_4E05_9F84_CC0A1C6F79F4_.wvu.PrintTitles" localSheetId="41" hidden="1">'Appendix F'!$2:$8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'Exhibit F'!$5:$13</definedName>
    <definedName name="Z_8EE6466D_211E_4E05_9F84_CC0A1C6F79F4_.wvu.PrintTitles" localSheetId="18" hidden="1">'Exhibit G'!$4:$13</definedName>
    <definedName name="Z_8EE6466D_211E_4E05_9F84_CC0A1C6F79F4_.wvu.PrintTitles" localSheetId="20" hidden="1">'Exhibit G Federal'!$3:$12</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2" hidden="1">'Exhibit I'!$3:$13</definedName>
    <definedName name="Z_8EE6466D_211E_4E05_9F84_CC0A1C6F79F4_.wvu.PrintTitles" localSheetId="24" hidden="1">'Exhibit I Federal'!$3:$13</definedName>
    <definedName name="Z_8EE6466D_211E_4E05_9F84_CC0A1C6F79F4_.wvu.PrintTitles" localSheetId="23" hidden="1">'Exhibit I State'!$3:$13</definedName>
    <definedName name="Z_8EE6466D_211E_4E05_9F84_CC0A1C6F79F4_.wvu.PrintTitles" localSheetId="37" hidden="1">'HCRA PROG DISB'!$3:$8</definedName>
    <definedName name="Z_8EE6466D_211E_4E05_9F84_CC0A1C6F79F4_.wvu.PrintTitles" localSheetId="38" hidden="1">'Public Goods '!$5:$11</definedName>
    <definedName name="Z_8EE6466D_211E_4E05_9F84_CC0A1C6F79F4_.wvu.PrintTitles" localSheetId="29" hidden="1">'Sch 1 '!$3:$11</definedName>
    <definedName name="Z_8EE6466D_211E_4E05_9F84_CC0A1C6F79F4_.wvu.PrintTitles" localSheetId="0" hidden="1">'Table of Contents'!$1:$12</definedName>
    <definedName name="Z_90980A54_5C40_4F89_B73B_BC9A8E902E3F_.wvu.FilterData" localSheetId="11" hidden="1">'Exh D Debt Service'!$A$3:$A$7</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3F632B4_29C3_4BEC_9061_2AFCB2794940_.wvu.FilterData" localSheetId="8" hidden="1">'Exh D General Fund  '!$A$3:$A$7</definedName>
    <definedName name="Z_9899757D_57B5_4A62_AF0E_3ABA9B994DD7_.wvu.PrintArea" localSheetId="24" hidden="1">'Exhibit I Federal'!$B$3:$AL$85</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'!$3:$11</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89A4E0_9251_4B4C_9F84_26A1CCEEF41F_.wvu.FilterData" localSheetId="11" hidden="1">'Exh D Debt Service'!$A$3:$A$7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7EA20FD_E2E4_47A9_ADB2_CB6994C21060_.wvu.FilterData" localSheetId="8" hidden="1">'Exh D General Fund  '!$A$3:$A$7</definedName>
    <definedName name="Z_B89D459E_FD0F_4F6D_A34F_E72B29028B49_.wvu.PrintArea" localSheetId="34" hidden="1">'Sch 5a'!$B$3:$W$46</definedName>
    <definedName name="Z_B976D787_68A3_4D1B_B838_0A29FFCDA329_.wvu.PrintTitles" localSheetId="29" hidden="1">'Sch 1 '!$3:$11</definedName>
    <definedName name="Z_B976D787_68A3_4D1B_B838_0A29FFCDA329_.wvu.Rows" localSheetId="29" hidden="1">'Sch 1 '!#REF!</definedName>
    <definedName name="Z_BBDD9C39_4D1E_4D4C_86FB_AAAA63489BEE_.wvu.PrintArea" localSheetId="14" hidden="1">'EXHIBIT E '!$A$3:$AK$59</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BFA8E00C_7764_4678_998D_63283154D253_.wvu.FilterData" localSheetId="8" hidden="1">'Exh D General Fund  '!$A$3:$A$7</definedName>
    <definedName name="Z_C2CA5E03_89A9_49BB_B1DA_FDDFA8FA6494_.wvu.FilterData" localSheetId="11" hidden="1">'Exh D Debt Service'!$A$3:$A$7</definedName>
    <definedName name="Z_C2CA5E03_89A9_49BB_B1DA_FDDFA8FA6494_.wvu.FilterData" localSheetId="8" hidden="1">'Exh D General Fund  '!$A$3:$A$7</definedName>
    <definedName name="Z_C5C11FF3_5C2C_4CF6_B28E_FB1B2DC22672_.wvu.FilterData" localSheetId="11" hidden="1">'Exh D Debt Service'!$A$3:$A$7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EC68E96_80BD_4D3E_B82B_4577BB80D07A_.wvu.FilterData" localSheetId="8" hidden="1">'Exh D General Fund  '!$A$3:$A$7</definedName>
    <definedName name="Z_CFEE50E2_401B_4F61_9D7F_826691D2BDD8_.wvu.FilterData" localSheetId="11" hidden="1">'Exh D Debt Service'!$A$3:$A$7</definedName>
    <definedName name="Z_D8A2B943_893F_4F3C_A054_B7BF98C780BF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Federal'!$B$3:$AL$85</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EFEA39D6_665A_4A30_9C9D_60C6600E6E69_.wvu.FilterData" localSheetId="8" hidden="1">'Exh D General Fund  '!$A$3:$A$7</definedName>
    <definedName name="Z_F06BD761_76B1_40BA_98BC_E9348D386469_.wvu.PrintArea" localSheetId="14" hidden="1">'EXHIBIT E '!$A$3:$AK$59</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concurrentCalc="0"/>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M138" i="16" l="1"/>
  <c r="X21" i="15"/>
  <c r="Y40" i="41"/>
  <c r="Y30" i="41"/>
  <c r="W40" i="41"/>
  <c r="W30" i="41"/>
  <c r="U40" i="41"/>
  <c r="U30" i="41"/>
  <c r="S40" i="41"/>
  <c r="S30" i="41"/>
  <c r="Q40" i="41"/>
  <c r="Q30" i="41"/>
  <c r="O40" i="41"/>
  <c r="O30" i="41"/>
  <c r="M40" i="41"/>
  <c r="M30" i="41"/>
  <c r="K40" i="41"/>
  <c r="K30" i="41"/>
  <c r="I40" i="41"/>
  <c r="I30" i="41"/>
  <c r="G40" i="41"/>
  <c r="G30" i="41"/>
  <c r="D114" i="20"/>
  <c r="G43" i="41"/>
  <c r="W43" i="41"/>
  <c r="I43" i="41"/>
  <c r="M43" i="41"/>
  <c r="Q43" i="41"/>
  <c r="U43" i="41"/>
  <c r="Y43" i="41"/>
  <c r="K43" i="41"/>
  <c r="O43" i="41"/>
  <c r="S43" i="41"/>
  <c r="F20" i="33"/>
  <c r="H20" i="33"/>
  <c r="J17" i="33"/>
  <c r="A41" i="12"/>
  <c r="G94" i="38"/>
  <c r="G93" i="38"/>
  <c r="G92" i="38"/>
  <c r="G91" i="38"/>
  <c r="F90" i="38"/>
  <c r="F95" i="38"/>
  <c r="E90" i="38"/>
  <c r="E95" i="38"/>
  <c r="C90" i="38"/>
  <c r="C95" i="38"/>
  <c r="G89" i="38"/>
  <c r="G87" i="38"/>
  <c r="G86" i="38"/>
  <c r="G85" i="38"/>
  <c r="G84" i="38"/>
  <c r="G82" i="38"/>
  <c r="G80" i="38"/>
  <c r="G78" i="38"/>
  <c r="G77" i="38"/>
  <c r="G76" i="38"/>
  <c r="G75" i="38"/>
  <c r="G74" i="38"/>
  <c r="G73" i="38"/>
  <c r="G72" i="38"/>
  <c r="G71" i="38"/>
  <c r="G70" i="38"/>
  <c r="G69" i="38"/>
  <c r="G68" i="38"/>
  <c r="G67" i="38"/>
  <c r="G66" i="38"/>
  <c r="G65" i="38"/>
  <c r="G63" i="38"/>
  <c r="G62" i="38"/>
  <c r="G61" i="38"/>
  <c r="G60" i="38"/>
  <c r="G59" i="38"/>
  <c r="G58" i="38"/>
  <c r="G57" i="38"/>
  <c r="G56" i="38"/>
  <c r="G55" i="38"/>
  <c r="G54" i="38"/>
  <c r="G53" i="38"/>
  <c r="G52" i="38"/>
  <c r="G51" i="38"/>
  <c r="G50" i="38"/>
  <c r="G49" i="38"/>
  <c r="G48" i="38"/>
  <c r="G47" i="38"/>
  <c r="G46" i="38"/>
  <c r="G45" i="38"/>
  <c r="G44" i="38"/>
  <c r="G43" i="38"/>
  <c r="G42" i="38"/>
  <c r="G41" i="38"/>
  <c r="G40" i="38"/>
  <c r="G39" i="38"/>
  <c r="G38" i="38"/>
  <c r="G37" i="38"/>
  <c r="G36" i="38"/>
  <c r="G35" i="38"/>
  <c r="G34" i="38"/>
  <c r="G32" i="38"/>
  <c r="G30" i="38"/>
  <c r="G28" i="38"/>
  <c r="G26" i="38"/>
  <c r="G25" i="38"/>
  <c r="G24" i="38"/>
  <c r="G23" i="38"/>
  <c r="G22" i="38"/>
  <c r="G21" i="38"/>
  <c r="G20" i="38"/>
  <c r="G19" i="38"/>
  <c r="G18" i="38"/>
  <c r="G17" i="38"/>
  <c r="G16" i="38"/>
  <c r="G15" i="38"/>
  <c r="G14" i="38"/>
  <c r="G13" i="38"/>
  <c r="G12" i="38"/>
  <c r="G11" i="38"/>
  <c r="G10" i="38"/>
  <c r="G90" i="38"/>
  <c r="G95" i="38"/>
  <c r="AJ134" i="16"/>
  <c r="G53" i="34"/>
  <c r="G48" i="34"/>
  <c r="G26" i="34"/>
  <c r="G16" i="34"/>
  <c r="AK86" i="18"/>
  <c r="D86" i="18"/>
  <c r="AE86" i="18"/>
  <c r="AI86" i="18"/>
  <c r="AI42" i="22"/>
  <c r="B18" i="37"/>
  <c r="M185" i="42"/>
  <c r="M184" i="42"/>
  <c r="M149" i="42"/>
  <c r="M113" i="42"/>
  <c r="M86" i="42"/>
  <c r="D128" i="18"/>
  <c r="C134" i="16"/>
  <c r="B29" i="37"/>
  <c r="B17" i="37"/>
  <c r="B15" i="37"/>
  <c r="H90" i="38"/>
  <c r="H95" i="38"/>
  <c r="B46" i="22"/>
  <c r="L19" i="2"/>
  <c r="H52" i="3"/>
  <c r="D37" i="20"/>
  <c r="D124" i="18"/>
  <c r="D57" i="20"/>
  <c r="D104" i="20"/>
  <c r="H41" i="3"/>
  <c r="D105" i="18"/>
  <c r="D29" i="2"/>
  <c r="D89" i="18"/>
  <c r="B43" i="22"/>
  <c r="B16" i="28"/>
  <c r="B18" i="6"/>
  <c r="E47" i="24"/>
  <c r="E59" i="24"/>
  <c r="D78" i="20"/>
  <c r="D67" i="21"/>
  <c r="E57" i="24"/>
  <c r="D80" i="20"/>
  <c r="C19" i="26"/>
  <c r="B18" i="5"/>
  <c r="D31" i="21"/>
  <c r="D91" i="20"/>
  <c r="H28" i="3"/>
  <c r="D102" i="20"/>
  <c r="H39" i="3"/>
  <c r="E34" i="25"/>
  <c r="E55" i="25"/>
  <c r="D84" i="21"/>
  <c r="D103" i="20"/>
  <c r="H40" i="3"/>
  <c r="D41" i="18"/>
  <c r="D41" i="15"/>
  <c r="E41" i="25"/>
  <c r="E76" i="24"/>
  <c r="B19" i="37"/>
  <c r="G43" i="40"/>
  <c r="G41" i="40"/>
  <c r="G40" i="40"/>
  <c r="G36" i="40"/>
  <c r="G35" i="40"/>
  <c r="G34" i="40"/>
  <c r="G33" i="40"/>
  <c r="G32" i="40"/>
  <c r="G30" i="40"/>
  <c r="G29" i="40"/>
  <c r="G22" i="40"/>
  <c r="G21" i="40"/>
  <c r="G20" i="40"/>
  <c r="G16" i="40"/>
  <c r="F44" i="39"/>
  <c r="F46" i="39"/>
  <c r="Z27" i="43"/>
  <c r="Z21" i="43"/>
  <c r="Y22" i="24"/>
  <c r="Y27" i="24"/>
  <c r="Y30" i="24"/>
  <c r="Y60" i="24"/>
  <c r="Y78" i="24"/>
  <c r="Y85" i="24"/>
  <c r="Y32" i="24"/>
  <c r="Y64" i="24"/>
  <c r="Y88" i="24"/>
  <c r="F15" i="39"/>
  <c r="Z39" i="19"/>
  <c r="U119" i="16"/>
  <c r="U128" i="16"/>
  <c r="U138" i="16"/>
  <c r="E40" i="41"/>
  <c r="C40" i="41"/>
  <c r="AA39" i="41"/>
  <c r="AA38" i="41"/>
  <c r="AA37" i="41"/>
  <c r="AA36" i="41"/>
  <c r="AA35" i="41"/>
  <c r="E30" i="41"/>
  <c r="C30" i="41"/>
  <c r="AA29" i="41"/>
  <c r="AA28" i="41"/>
  <c r="AA27" i="41"/>
  <c r="AA26" i="41"/>
  <c r="AA25" i="41"/>
  <c r="AA24" i="41"/>
  <c r="AA23" i="41"/>
  <c r="AA22" i="41"/>
  <c r="AA21" i="41"/>
  <c r="AA20" i="41"/>
  <c r="AA19" i="41"/>
  <c r="AA17" i="41"/>
  <c r="AA16" i="41"/>
  <c r="AA15" i="41"/>
  <c r="AA14" i="41"/>
  <c r="E43" i="41"/>
  <c r="AA30" i="41"/>
  <c r="C43" i="41"/>
  <c r="AA40" i="41"/>
  <c r="D49" i="21"/>
  <c r="E40" i="25"/>
  <c r="B42" i="22"/>
  <c r="AG42" i="22"/>
  <c r="E58" i="24"/>
  <c r="D90" i="18"/>
  <c r="D79" i="20"/>
  <c r="AA43" i="41"/>
  <c r="D94" i="20"/>
  <c r="H31" i="3"/>
  <c r="D97" i="20"/>
  <c r="H34" i="3"/>
  <c r="D27" i="20"/>
  <c r="D74" i="21"/>
  <c r="D59" i="20"/>
  <c r="D56" i="20"/>
  <c r="D46" i="20"/>
  <c r="C98" i="17"/>
  <c r="R44" i="18"/>
  <c r="D22" i="20"/>
  <c r="D72" i="20"/>
  <c r="V24" i="18"/>
  <c r="B25" i="27"/>
  <c r="F25" i="5"/>
  <c r="B39" i="27"/>
  <c r="F35" i="5"/>
  <c r="C20" i="26"/>
  <c r="B19" i="5"/>
  <c r="C30" i="26"/>
  <c r="B26" i="5"/>
  <c r="A52" i="9"/>
  <c r="M189" i="42"/>
  <c r="B33" i="6"/>
  <c r="D43" i="18"/>
  <c r="D43" i="15"/>
  <c r="D19" i="18"/>
  <c r="D16" i="15"/>
  <c r="B41" i="37"/>
  <c r="N36" i="43"/>
  <c r="Z15" i="43"/>
  <c r="AE98" i="17"/>
  <c r="AA31" i="23"/>
  <c r="AA28" i="23"/>
  <c r="Z36" i="19"/>
  <c r="AA23" i="23"/>
  <c r="Z24" i="18"/>
  <c r="Z28" i="18"/>
  <c r="Y26" i="16"/>
  <c r="Y30" i="16"/>
  <c r="AA78" i="24"/>
  <c r="AA85" i="24"/>
  <c r="Z29" i="19"/>
  <c r="AA60" i="24"/>
  <c r="AA33" i="23"/>
  <c r="AA61" i="23"/>
  <c r="Z83" i="19"/>
  <c r="Y26" i="17"/>
  <c r="Y30" i="17"/>
  <c r="Z41" i="19"/>
  <c r="Z101" i="19"/>
  <c r="Z108" i="19"/>
  <c r="AA79" i="23"/>
  <c r="AA86" i="23"/>
  <c r="AA65" i="23"/>
  <c r="AA89" i="23"/>
  <c r="Z87" i="19"/>
  <c r="Z111" i="19"/>
  <c r="L52" i="18"/>
  <c r="L24" i="18"/>
  <c r="L28" i="18"/>
  <c r="L37" i="18"/>
  <c r="L44" i="18"/>
  <c r="L92" i="18"/>
  <c r="L110" i="18"/>
  <c r="L116" i="18"/>
  <c r="L54" i="18"/>
  <c r="V44" i="18"/>
  <c r="V37" i="18"/>
  <c r="V92" i="18"/>
  <c r="V110" i="18"/>
  <c r="V116" i="18"/>
  <c r="J70" i="21"/>
  <c r="J77" i="21"/>
  <c r="J86" i="21"/>
  <c r="V134" i="18"/>
  <c r="Y31" i="23"/>
  <c r="Z26" i="43"/>
  <c r="Y23" i="23"/>
  <c r="Z92" i="18"/>
  <c r="Z37" i="18"/>
  <c r="Z110" i="18"/>
  <c r="Z116" i="18"/>
  <c r="Z44" i="18"/>
  <c r="I21" i="36"/>
  <c r="G21" i="36"/>
  <c r="A42" i="14"/>
  <c r="A42" i="13"/>
  <c r="A44" i="11"/>
  <c r="A44" i="10"/>
  <c r="A51" i="8"/>
  <c r="Y61" i="23"/>
  <c r="Y79" i="23"/>
  <c r="Y86" i="23"/>
  <c r="Y101" i="16"/>
  <c r="Y101" i="17"/>
  <c r="Y40" i="16"/>
  <c r="Y47" i="17"/>
  <c r="Y40" i="17"/>
  <c r="Y47" i="16"/>
  <c r="Y119" i="16"/>
  <c r="Y128" i="16"/>
  <c r="Y119" i="17"/>
  <c r="Y128" i="17"/>
  <c r="G30" i="24"/>
  <c r="T100" i="20"/>
  <c r="Z82" i="20"/>
  <c r="Z100" i="20"/>
  <c r="Z107" i="20"/>
  <c r="J18" i="33"/>
  <c r="Z23" i="43"/>
  <c r="M192" i="42"/>
  <c r="Z19" i="43"/>
  <c r="X36" i="43"/>
  <c r="V36" i="43"/>
  <c r="T36" i="43"/>
  <c r="R36" i="43"/>
  <c r="P36" i="43"/>
  <c r="L36" i="43"/>
  <c r="J36" i="43"/>
  <c r="H36" i="43"/>
  <c r="F36" i="43"/>
  <c r="D36" i="43"/>
  <c r="B36" i="43"/>
  <c r="O41" i="4"/>
  <c r="M41" i="4"/>
  <c r="B41" i="22"/>
  <c r="V17" i="29"/>
  <c r="V17" i="28"/>
  <c r="AB83" i="19"/>
  <c r="AB39" i="19"/>
  <c r="AB36" i="19"/>
  <c r="AB29" i="19"/>
  <c r="AB41" i="19"/>
  <c r="AB87" i="19"/>
  <c r="C28" i="39"/>
  <c r="I34" i="10"/>
  <c r="E68" i="24"/>
  <c r="D130" i="18"/>
  <c r="E69" i="24"/>
  <c r="L24" i="37"/>
  <c r="L32" i="37"/>
  <c r="L17" i="28"/>
  <c r="L20" i="22"/>
  <c r="N38" i="20"/>
  <c r="Q78" i="24"/>
  <c r="Q85" i="24"/>
  <c r="Q30" i="24"/>
  <c r="P52" i="21"/>
  <c r="D54" i="20"/>
  <c r="D21" i="20"/>
  <c r="D65" i="21"/>
  <c r="V44" i="22"/>
  <c r="V23" i="22"/>
  <c r="V56" i="22"/>
  <c r="V33" i="29"/>
  <c r="V25" i="28"/>
  <c r="V28" i="28"/>
  <c r="V25" i="29"/>
  <c r="V28" i="29"/>
  <c r="P82" i="20"/>
  <c r="P28" i="20"/>
  <c r="P117" i="19"/>
  <c r="P29" i="19"/>
  <c r="V52" i="18"/>
  <c r="N70" i="21"/>
  <c r="N77" i="21"/>
  <c r="L25" i="29"/>
  <c r="L29" i="27"/>
  <c r="M23" i="26"/>
  <c r="O78" i="24"/>
  <c r="O85" i="24"/>
  <c r="N35" i="20"/>
  <c r="N28" i="20"/>
  <c r="L23" i="22"/>
  <c r="L44" i="22"/>
  <c r="N100" i="20"/>
  <c r="N107" i="20"/>
  <c r="M34" i="26"/>
  <c r="O60" i="24"/>
  <c r="L19" i="27"/>
  <c r="O30" i="24"/>
  <c r="L56" i="22"/>
  <c r="L17" i="29"/>
  <c r="O27" i="24"/>
  <c r="O22" i="24"/>
  <c r="L25" i="28"/>
  <c r="L28" i="28"/>
  <c r="N52" i="21"/>
  <c r="N56" i="21"/>
  <c r="V33" i="28"/>
  <c r="V37" i="28"/>
  <c r="V20" i="22"/>
  <c r="V66" i="22"/>
  <c r="V37" i="29"/>
  <c r="O137" i="17"/>
  <c r="O26" i="17"/>
  <c r="D69" i="21"/>
  <c r="D99" i="20"/>
  <c r="H36" i="3"/>
  <c r="M26" i="16"/>
  <c r="M30" i="16"/>
  <c r="L28" i="29"/>
  <c r="N80" i="21"/>
  <c r="M39" i="26"/>
  <c r="L34" i="27"/>
  <c r="M119" i="17"/>
  <c r="M128" i="17"/>
  <c r="O32" i="24"/>
  <c r="O64" i="24"/>
  <c r="O88" i="24"/>
  <c r="M26" i="17"/>
  <c r="M30" i="17"/>
  <c r="O61" i="23"/>
  <c r="L25" i="22"/>
  <c r="L48" i="22"/>
  <c r="L59" i="22"/>
  <c r="O23" i="23"/>
  <c r="O28" i="23"/>
  <c r="O79" i="23"/>
  <c r="O86" i="23"/>
  <c r="M40" i="17"/>
  <c r="M55" i="17"/>
  <c r="M47" i="17"/>
  <c r="O31" i="23"/>
  <c r="N29" i="19"/>
  <c r="N40" i="20"/>
  <c r="M101" i="17"/>
  <c r="N82" i="20"/>
  <c r="Q61" i="23"/>
  <c r="L44" i="15"/>
  <c r="L21" i="15"/>
  <c r="D95" i="20"/>
  <c r="H32" i="3"/>
  <c r="Z52" i="18"/>
  <c r="Z54" i="18"/>
  <c r="Z96" i="18"/>
  <c r="Z119" i="18"/>
  <c r="Y55" i="17"/>
  <c r="Y57" i="17"/>
  <c r="Y105" i="17"/>
  <c r="Y131" i="17"/>
  <c r="Y55" i="16"/>
  <c r="Y57" i="16"/>
  <c r="Y105" i="16"/>
  <c r="Y131" i="16"/>
  <c r="M40" i="16"/>
  <c r="M55" i="16"/>
  <c r="M47" i="16"/>
  <c r="M101" i="16"/>
  <c r="M119" i="16"/>
  <c r="M128" i="16"/>
  <c r="M57" i="17"/>
  <c r="M137" i="17"/>
  <c r="N86" i="20"/>
  <c r="N110" i="20"/>
  <c r="O33" i="23"/>
  <c r="O65" i="23"/>
  <c r="O89" i="23"/>
  <c r="D38" i="19"/>
  <c r="AD38" i="19"/>
  <c r="L34" i="2"/>
  <c r="H52" i="15"/>
  <c r="M57" i="16"/>
  <c r="D39" i="19"/>
  <c r="H17" i="2"/>
  <c r="F45" i="39"/>
  <c r="F42" i="39"/>
  <c r="F41" i="39"/>
  <c r="F37" i="39"/>
  <c r="F35" i="39"/>
  <c r="F34" i="39"/>
  <c r="F27" i="39"/>
  <c r="F26" i="39"/>
  <c r="F25" i="39"/>
  <c r="F21" i="39"/>
  <c r="F20" i="39"/>
  <c r="F19" i="39"/>
  <c r="F18" i="39"/>
  <c r="F17" i="39"/>
  <c r="F16" i="39"/>
  <c r="F12" i="39"/>
  <c r="S31" i="23"/>
  <c r="F22" i="39"/>
  <c r="F47" i="39"/>
  <c r="F38" i="39"/>
  <c r="F28" i="39"/>
  <c r="F30" i="39"/>
  <c r="F50" i="39"/>
  <c r="F52" i="39"/>
  <c r="D33" i="20"/>
  <c r="D34" i="19"/>
  <c r="H42" i="15"/>
  <c r="P92" i="18"/>
  <c r="D44" i="40"/>
  <c r="D37" i="40"/>
  <c r="D23" i="40"/>
  <c r="D17" i="40"/>
  <c r="G17" i="40"/>
  <c r="G13" i="40"/>
  <c r="C47" i="39"/>
  <c r="C38" i="39"/>
  <c r="C22" i="39"/>
  <c r="C30" i="39"/>
  <c r="G52" i="34"/>
  <c r="AK83" i="18"/>
  <c r="D54" i="21"/>
  <c r="E36" i="24"/>
  <c r="D19" i="21"/>
  <c r="D114" i="18"/>
  <c r="D38" i="2"/>
  <c r="E28" i="25"/>
  <c r="AK64" i="18"/>
  <c r="E23" i="25"/>
  <c r="B23" i="28"/>
  <c r="B24" i="6"/>
  <c r="E48" i="24"/>
  <c r="E37" i="25"/>
  <c r="C32" i="26"/>
  <c r="B28" i="5"/>
  <c r="D77" i="20"/>
  <c r="D38" i="21"/>
  <c r="D20" i="18"/>
  <c r="D17" i="15"/>
  <c r="AC24" i="18"/>
  <c r="AC28" i="18"/>
  <c r="E92" i="24"/>
  <c r="AK67" i="18"/>
  <c r="E63" i="25"/>
  <c r="D96" i="20"/>
  <c r="H33" i="3"/>
  <c r="AL72" i="20"/>
  <c r="AE91" i="17"/>
  <c r="AJ91" i="17"/>
  <c r="E73" i="25"/>
  <c r="B32" i="28"/>
  <c r="E24" i="25"/>
  <c r="B38" i="22"/>
  <c r="D91" i="18"/>
  <c r="D24" i="20"/>
  <c r="AL55" i="24"/>
  <c r="G41" i="34"/>
  <c r="D35" i="18"/>
  <c r="D34" i="15"/>
  <c r="G21" i="34"/>
  <c r="G31" i="34"/>
  <c r="C45" i="26"/>
  <c r="B36" i="5"/>
  <c r="AA44" i="22"/>
  <c r="B29" i="22"/>
  <c r="D44" i="20"/>
  <c r="D37" i="21"/>
  <c r="C31" i="26"/>
  <c r="B27" i="5"/>
  <c r="D84" i="20"/>
  <c r="H22" i="3"/>
  <c r="AI22" i="29"/>
  <c r="D31" i="20"/>
  <c r="G43" i="34"/>
  <c r="D94" i="18"/>
  <c r="D19" i="2"/>
  <c r="D66" i="21"/>
  <c r="D77" i="18"/>
  <c r="D48" i="21"/>
  <c r="D23" i="21"/>
  <c r="D76" i="20"/>
  <c r="G39" i="34"/>
  <c r="D46" i="21"/>
  <c r="AG114" i="19"/>
  <c r="B27" i="27"/>
  <c r="F27" i="5"/>
  <c r="B31" i="28"/>
  <c r="B32" i="6"/>
  <c r="E44" i="25"/>
  <c r="D44" i="21"/>
  <c r="B32" i="22"/>
  <c r="D68" i="18"/>
  <c r="E21" i="24"/>
  <c r="E22" i="23"/>
  <c r="P34" i="15"/>
  <c r="D67" i="20"/>
  <c r="E74" i="24"/>
  <c r="D123" i="18"/>
  <c r="B24" i="29"/>
  <c r="F25" i="6"/>
  <c r="D27" i="18"/>
  <c r="D24" i="15"/>
  <c r="E44" i="24"/>
  <c r="D36" i="18"/>
  <c r="D35" i="15"/>
  <c r="G29" i="34"/>
  <c r="G19" i="34"/>
  <c r="D30" i="18"/>
  <c r="D28" i="15"/>
  <c r="AC37" i="18"/>
  <c r="D98" i="20"/>
  <c r="H35" i="3"/>
  <c r="D68" i="21"/>
  <c r="E30" i="25"/>
  <c r="D51" i="20"/>
  <c r="D52" i="19"/>
  <c r="C70" i="16"/>
  <c r="E53" i="24"/>
  <c r="D84" i="18"/>
  <c r="D20" i="20"/>
  <c r="AD28" i="20"/>
  <c r="E45" i="24"/>
  <c r="G34" i="34"/>
  <c r="D23" i="18"/>
  <c r="D20" i="15"/>
  <c r="E26" i="25"/>
  <c r="D92" i="20"/>
  <c r="H29" i="3"/>
  <c r="E81" i="24"/>
  <c r="E51" i="24"/>
  <c r="E51" i="25"/>
  <c r="G23" i="34"/>
  <c r="B40" i="27"/>
  <c r="F36" i="5"/>
  <c r="AG40" i="27"/>
  <c r="D60" i="20"/>
  <c r="D25" i="20"/>
  <c r="AL65" i="20"/>
  <c r="D81" i="20"/>
  <c r="B16" i="37"/>
  <c r="I26" i="10"/>
  <c r="D64" i="21"/>
  <c r="D75" i="20"/>
  <c r="C94" i="17"/>
  <c r="D55" i="20"/>
  <c r="D61" i="18"/>
  <c r="G30" i="34"/>
  <c r="E72" i="24"/>
  <c r="D102" i="18"/>
  <c r="D26" i="2"/>
  <c r="D26" i="21"/>
  <c r="D34" i="21"/>
  <c r="AL34" i="25"/>
  <c r="E56" i="25"/>
  <c r="AJ32" i="25"/>
  <c r="E32" i="25"/>
  <c r="G20" i="34"/>
  <c r="E33" i="25"/>
  <c r="B37" i="22"/>
  <c r="D40" i="18"/>
  <c r="D40" i="15"/>
  <c r="AL47" i="21"/>
  <c r="D113" i="18"/>
  <c r="D37" i="2"/>
  <c r="AI27" i="27"/>
  <c r="B41" i="6"/>
  <c r="AK43" i="18"/>
  <c r="B22" i="28"/>
  <c r="B23" i="6"/>
  <c r="P23" i="6"/>
  <c r="D88" i="18"/>
  <c r="D129" i="18"/>
  <c r="AK33" i="18"/>
  <c r="AL43" i="21"/>
  <c r="D39" i="21"/>
  <c r="E58" i="25"/>
  <c r="D70" i="18"/>
  <c r="E62" i="25"/>
  <c r="D29" i="21"/>
  <c r="AC44" i="18"/>
  <c r="D39" i="18"/>
  <c r="D39" i="15"/>
  <c r="AL91" i="24"/>
  <c r="AI67" i="18"/>
  <c r="D67" i="18"/>
  <c r="D127" i="18"/>
  <c r="D83" i="21"/>
  <c r="D48" i="20"/>
  <c r="D62" i="21"/>
  <c r="B22" i="37"/>
  <c r="D34" i="18"/>
  <c r="D33" i="15"/>
  <c r="D74" i="18"/>
  <c r="D73" i="18"/>
  <c r="E36" i="25"/>
  <c r="G38" i="34"/>
  <c r="E38" i="24"/>
  <c r="G56" i="34"/>
  <c r="D21" i="18"/>
  <c r="D18" i="15"/>
  <c r="D76" i="18"/>
  <c r="D47" i="20"/>
  <c r="D82" i="18"/>
  <c r="D79" i="18"/>
  <c r="E20" i="24"/>
  <c r="E21" i="23"/>
  <c r="P32" i="15"/>
  <c r="C44" i="26"/>
  <c r="B35" i="5"/>
  <c r="B39" i="37"/>
  <c r="D109" i="18"/>
  <c r="D33" i="2"/>
  <c r="D71" i="18"/>
  <c r="D72" i="21"/>
  <c r="D32" i="18"/>
  <c r="D30" i="15"/>
  <c r="B16" i="29"/>
  <c r="F18" i="6"/>
  <c r="E59" i="25"/>
  <c r="G49" i="34"/>
  <c r="B16" i="22"/>
  <c r="AI74" i="23"/>
  <c r="D125" i="18"/>
  <c r="D25" i="18"/>
  <c r="D22" i="15"/>
  <c r="D26" i="18"/>
  <c r="AC52" i="18"/>
  <c r="D46" i="18"/>
  <c r="C49" i="16"/>
  <c r="E93" i="24"/>
  <c r="E94" i="23"/>
  <c r="P50" i="2"/>
  <c r="D50" i="21"/>
  <c r="D22" i="21"/>
  <c r="D66" i="20"/>
  <c r="B20" i="37"/>
  <c r="AI24" i="28"/>
  <c r="D64" i="18"/>
  <c r="D59" i="18"/>
  <c r="B31" i="37"/>
  <c r="B39" i="22"/>
  <c r="B64" i="22"/>
  <c r="L50" i="2"/>
  <c r="P18" i="6"/>
  <c r="E29" i="24"/>
  <c r="E30" i="23"/>
  <c r="P50" i="15"/>
  <c r="M250" i="42"/>
  <c r="B17" i="27"/>
  <c r="F18" i="5"/>
  <c r="D30" i="20"/>
  <c r="D113" i="20"/>
  <c r="H51" i="3"/>
  <c r="D87" i="18"/>
  <c r="B36" i="37"/>
  <c r="D74" i="20"/>
  <c r="E70" i="24"/>
  <c r="G57" i="34"/>
  <c r="E43" i="24"/>
  <c r="D78" i="18"/>
  <c r="E54" i="25"/>
  <c r="E27" i="25"/>
  <c r="D53" i="20"/>
  <c r="B28" i="37"/>
  <c r="E50" i="24"/>
  <c r="E25" i="25"/>
  <c r="D112" i="18"/>
  <c r="D36" i="2"/>
  <c r="AK25" i="18"/>
  <c r="AK78" i="18"/>
  <c r="D23" i="20"/>
  <c r="D45" i="21"/>
  <c r="B31" i="22"/>
  <c r="D24" i="21"/>
  <c r="D41" i="21"/>
  <c r="K93" i="30"/>
  <c r="D27" i="21"/>
  <c r="AC110" i="18"/>
  <c r="AC116" i="18"/>
  <c r="D100" i="18"/>
  <c r="D24" i="2"/>
  <c r="AL84" i="20"/>
  <c r="D43" i="21"/>
  <c r="AJ19" i="25"/>
  <c r="E19" i="25"/>
  <c r="B24" i="28"/>
  <c r="B25" i="6"/>
  <c r="D62" i="20"/>
  <c r="AK91" i="18"/>
  <c r="E55" i="24"/>
  <c r="AL17" i="20"/>
  <c r="E52" i="25"/>
  <c r="E19" i="24"/>
  <c r="E20" i="23"/>
  <c r="P29" i="15"/>
  <c r="D32" i="21"/>
  <c r="B35" i="37"/>
  <c r="D17" i="20"/>
  <c r="H17" i="3"/>
  <c r="D51" i="21"/>
  <c r="AI43" i="23"/>
  <c r="D61" i="21"/>
  <c r="B26" i="27"/>
  <c r="F26" i="5"/>
  <c r="E50" i="25"/>
  <c r="D71" i="20"/>
  <c r="D48" i="18"/>
  <c r="D49" i="18"/>
  <c r="D50" i="15"/>
  <c r="D26" i="20"/>
  <c r="E25" i="24"/>
  <c r="E26" i="23"/>
  <c r="P40" i="15"/>
  <c r="E39" i="25"/>
  <c r="AG115" i="19"/>
  <c r="AK109" i="18"/>
  <c r="G50" i="34"/>
  <c r="G62" i="34"/>
  <c r="B21" i="37"/>
  <c r="D90" i="20"/>
  <c r="H27" i="3"/>
  <c r="E26" i="24"/>
  <c r="E27" i="23"/>
  <c r="P43" i="15"/>
  <c r="D68" i="20"/>
  <c r="E80" i="24"/>
  <c r="D21" i="21"/>
  <c r="B27" i="37"/>
  <c r="E91" i="24"/>
  <c r="D72" i="18"/>
  <c r="AL56" i="24"/>
  <c r="B36" i="22"/>
  <c r="D62" i="18"/>
  <c r="D36" i="21"/>
  <c r="D85" i="18"/>
  <c r="E56" i="24"/>
  <c r="E57" i="23"/>
  <c r="E38" i="25"/>
  <c r="D31" i="18"/>
  <c r="D29" i="15"/>
  <c r="D50" i="18"/>
  <c r="E40" i="24"/>
  <c r="G63" i="34"/>
  <c r="D32" i="20"/>
  <c r="M16" i="34"/>
  <c r="E24" i="24"/>
  <c r="E25" i="23"/>
  <c r="P39" i="15"/>
  <c r="D75" i="21"/>
  <c r="B34" i="22"/>
  <c r="D73" i="21"/>
  <c r="D107" i="18"/>
  <c r="D31" i="2"/>
  <c r="D73" i="20"/>
  <c r="B52" i="22"/>
  <c r="L37" i="2"/>
  <c r="E65" i="25"/>
  <c r="B22" i="22"/>
  <c r="L50" i="15"/>
  <c r="E57" i="25"/>
  <c r="B31" i="29"/>
  <c r="F32" i="6"/>
  <c r="D42" i="18"/>
  <c r="D42" i="15"/>
  <c r="B22" i="29"/>
  <c r="F23" i="6"/>
  <c r="E77" i="24"/>
  <c r="D105" i="20"/>
  <c r="H44" i="3"/>
  <c r="D28" i="21"/>
  <c r="D58" i="18"/>
  <c r="AC92" i="18"/>
  <c r="AL61" i="21"/>
  <c r="G35" i="34"/>
  <c r="D47" i="21"/>
  <c r="D42" i="21"/>
  <c r="D80" i="18"/>
  <c r="B19" i="22"/>
  <c r="L28" i="15"/>
  <c r="G51" i="34"/>
  <c r="D69" i="18"/>
  <c r="D33" i="18"/>
  <c r="D32" i="15"/>
  <c r="D30" i="21"/>
  <c r="B35" i="22"/>
  <c r="B40" i="37"/>
  <c r="E21" i="25"/>
  <c r="E73" i="24"/>
  <c r="E64" i="25"/>
  <c r="B54" i="22"/>
  <c r="L40" i="2"/>
  <c r="AI84" i="23"/>
  <c r="D47" i="18"/>
  <c r="C50" i="16"/>
  <c r="D63" i="18"/>
  <c r="D108" i="18"/>
  <c r="D32" i="2"/>
  <c r="D64" i="20"/>
  <c r="E75" i="24"/>
  <c r="G59" i="34"/>
  <c r="M59" i="34"/>
  <c r="D35" i="21"/>
  <c r="E54" i="24"/>
  <c r="D65" i="20"/>
  <c r="E62" i="24"/>
  <c r="D69" i="20"/>
  <c r="E41" i="24"/>
  <c r="E31" i="25"/>
  <c r="G22" i="34"/>
  <c r="AL47" i="24"/>
  <c r="D51" i="18"/>
  <c r="D52" i="15"/>
  <c r="G45" i="34"/>
  <c r="AL54" i="20"/>
  <c r="D22" i="18"/>
  <c r="D19" i="15"/>
  <c r="D34" i="20"/>
  <c r="C29" i="26"/>
  <c r="B25" i="5"/>
  <c r="E49" i="24"/>
  <c r="AL105" i="20"/>
  <c r="D83" i="18"/>
  <c r="C21" i="26"/>
  <c r="B20" i="5"/>
  <c r="D61" i="20"/>
  <c r="B23" i="29"/>
  <c r="F24" i="6"/>
  <c r="D60" i="21"/>
  <c r="E42" i="24"/>
  <c r="AE35" i="17"/>
  <c r="B32" i="29"/>
  <c r="F33" i="6"/>
  <c r="B63" i="22"/>
  <c r="L49" i="2"/>
  <c r="AL68" i="24"/>
  <c r="B33" i="22"/>
  <c r="E82" i="24"/>
  <c r="D101" i="18"/>
  <c r="D25" i="2"/>
  <c r="D52" i="20"/>
  <c r="F30" i="2"/>
  <c r="D106" i="18"/>
  <c r="D30" i="2"/>
  <c r="D66" i="18"/>
  <c r="D49" i="20"/>
  <c r="F28" i="2"/>
  <c r="D104" i="18"/>
  <c r="D28" i="2"/>
  <c r="B37" i="37"/>
  <c r="E74" i="25"/>
  <c r="E83" i="24"/>
  <c r="X116" i="20"/>
  <c r="C50" i="39"/>
  <c r="C52" i="39"/>
  <c r="G23" i="40"/>
  <c r="G25" i="40"/>
  <c r="D25" i="40"/>
  <c r="D47" i="40"/>
  <c r="D49" i="40"/>
  <c r="G44" i="40"/>
  <c r="G37" i="40"/>
  <c r="D131" i="18"/>
  <c r="C54" i="16"/>
  <c r="AC54" i="18"/>
  <c r="AC96" i="18"/>
  <c r="AC119" i="18"/>
  <c r="D48" i="15"/>
  <c r="B23" i="37"/>
  <c r="Z32" i="37"/>
  <c r="B30" i="37"/>
  <c r="AC134" i="18"/>
  <c r="D126" i="18"/>
  <c r="D49" i="2"/>
  <c r="C53" i="16"/>
  <c r="D51" i="15"/>
  <c r="D99" i="19"/>
  <c r="H32" i="2"/>
  <c r="D23" i="15"/>
  <c r="C28" i="16"/>
  <c r="L23" i="15"/>
  <c r="L14" i="2"/>
  <c r="D47" i="15"/>
  <c r="E78" i="23"/>
  <c r="P33" i="2"/>
  <c r="D49" i="15"/>
  <c r="C51" i="16"/>
  <c r="D50" i="2"/>
  <c r="E77" i="23"/>
  <c r="P32" i="2"/>
  <c r="E84" i="23"/>
  <c r="P41" i="2"/>
  <c r="E76" i="23"/>
  <c r="P31" i="2"/>
  <c r="E83" i="23"/>
  <c r="P38" i="2"/>
  <c r="E55" i="23"/>
  <c r="E54" i="23"/>
  <c r="E48" i="23"/>
  <c r="E43" i="23"/>
  <c r="E93" i="23"/>
  <c r="P49" i="2"/>
  <c r="E81" i="23"/>
  <c r="P36" i="2"/>
  <c r="E58" i="23"/>
  <c r="E41" i="23"/>
  <c r="E39" i="23"/>
  <c r="E45" i="23"/>
  <c r="E70" i="23"/>
  <c r="P25" i="2"/>
  <c r="E59" i="23"/>
  <c r="E69" i="23"/>
  <c r="P24" i="2"/>
  <c r="E92" i="23"/>
  <c r="P48" i="2"/>
  <c r="E37" i="23"/>
  <c r="C62" i="16"/>
  <c r="E63" i="23"/>
  <c r="P19" i="2"/>
  <c r="E75" i="23"/>
  <c r="P30" i="2"/>
  <c r="E42" i="23"/>
  <c r="E52" i="23"/>
  <c r="E50" i="23"/>
  <c r="E44" i="23"/>
  <c r="E71" i="23"/>
  <c r="P26" i="2"/>
  <c r="E74" i="23"/>
  <c r="P29" i="2"/>
  <c r="E56" i="23"/>
  <c r="E60" i="23"/>
  <c r="E49" i="23"/>
  <c r="E46" i="23"/>
  <c r="E73" i="23"/>
  <c r="P28" i="2"/>
  <c r="E82" i="23"/>
  <c r="P37" i="2"/>
  <c r="E51" i="23"/>
  <c r="C52" i="16"/>
  <c r="C125" i="17"/>
  <c r="C103" i="17"/>
  <c r="D85" i="19"/>
  <c r="H19" i="2"/>
  <c r="D60" i="19"/>
  <c r="C78" i="16"/>
  <c r="D72" i="19"/>
  <c r="C123" i="17"/>
  <c r="C110" i="17"/>
  <c r="D31" i="19"/>
  <c r="H39" i="15"/>
  <c r="D61" i="19"/>
  <c r="C79" i="16"/>
  <c r="C113" i="17"/>
  <c r="D25" i="19"/>
  <c r="C122" i="17"/>
  <c r="D55" i="19"/>
  <c r="AD55" i="19"/>
  <c r="D21" i="19"/>
  <c r="D81" i="19"/>
  <c r="D26" i="19"/>
  <c r="H33" i="15"/>
  <c r="C114" i="17"/>
  <c r="D28" i="19"/>
  <c r="D50" i="19"/>
  <c r="C67" i="16"/>
  <c r="D57" i="19"/>
  <c r="D62" i="19"/>
  <c r="C80" i="16"/>
  <c r="D24" i="19"/>
  <c r="D27" i="19"/>
  <c r="D23" i="19"/>
  <c r="H30" i="15"/>
  <c r="C134" i="17"/>
  <c r="D103" i="19"/>
  <c r="H36" i="2"/>
  <c r="D32" i="19"/>
  <c r="H40" i="15"/>
  <c r="C135" i="17"/>
  <c r="D58" i="19"/>
  <c r="C115" i="17"/>
  <c r="D80" i="19"/>
  <c r="D33" i="19"/>
  <c r="H41" i="15"/>
  <c r="D49" i="19"/>
  <c r="D56" i="19"/>
  <c r="D35" i="19"/>
  <c r="H43" i="15"/>
  <c r="D77" i="19"/>
  <c r="D22" i="19"/>
  <c r="C121" i="17"/>
  <c r="C22" i="16"/>
  <c r="C117" i="17"/>
  <c r="C29" i="16"/>
  <c r="C25" i="16"/>
  <c r="C23" i="16"/>
  <c r="C109" i="17"/>
  <c r="C24" i="16"/>
  <c r="C118" i="17"/>
  <c r="C111" i="17"/>
  <c r="P35" i="5"/>
  <c r="P18" i="5"/>
  <c r="AG23" i="19"/>
  <c r="X36" i="19"/>
  <c r="X29" i="19"/>
  <c r="X39" i="19"/>
  <c r="X101" i="19"/>
  <c r="X108" i="19"/>
  <c r="G47" i="40"/>
  <c r="G49" i="40"/>
  <c r="AC138" i="18"/>
  <c r="C35" i="16"/>
  <c r="H31" i="15"/>
  <c r="C39" i="16"/>
  <c r="H35" i="15"/>
  <c r="C33" i="16"/>
  <c r="H29" i="15"/>
  <c r="C38" i="16"/>
  <c r="H34" i="15"/>
  <c r="C36" i="16"/>
  <c r="H32" i="15"/>
  <c r="AD21" i="19"/>
  <c r="H28" i="15"/>
  <c r="C98" i="16"/>
  <c r="AB98" i="16"/>
  <c r="C137" i="17"/>
  <c r="C116" i="17"/>
  <c r="C119" i="17"/>
  <c r="D106" i="19"/>
  <c r="C126" i="17"/>
  <c r="C34" i="16"/>
  <c r="D76" i="19"/>
  <c r="C94" i="16"/>
  <c r="D65" i="19"/>
  <c r="C83" i="16"/>
  <c r="D75" i="19"/>
  <c r="C93" i="16"/>
  <c r="D63" i="19"/>
  <c r="AD63" i="19"/>
  <c r="C99" i="16"/>
  <c r="C76" i="16"/>
  <c r="C37" i="16"/>
  <c r="D53" i="19"/>
  <c r="C71" i="16"/>
  <c r="C66" i="16"/>
  <c r="D36" i="19"/>
  <c r="H16" i="2"/>
  <c r="C90" i="16"/>
  <c r="C74" i="16"/>
  <c r="C69" i="16"/>
  <c r="C125" i="16"/>
  <c r="D79" i="19"/>
  <c r="C97" i="16"/>
  <c r="D93" i="19"/>
  <c r="H26" i="2"/>
  <c r="D92" i="19"/>
  <c r="H25" i="2"/>
  <c r="D95" i="19"/>
  <c r="H28" i="2"/>
  <c r="D100" i="19"/>
  <c r="H33" i="2"/>
  <c r="D114" i="19"/>
  <c r="H49" i="2"/>
  <c r="D98" i="19"/>
  <c r="H31" i="2"/>
  <c r="D18" i="19"/>
  <c r="D96" i="19"/>
  <c r="D104" i="19"/>
  <c r="H37" i="2"/>
  <c r="C73" i="16"/>
  <c r="D29" i="19"/>
  <c r="H15" i="2"/>
  <c r="C32" i="16"/>
  <c r="C103" i="16"/>
  <c r="C75" i="16"/>
  <c r="C95" i="16"/>
  <c r="C21" i="17"/>
  <c r="C21" i="16"/>
  <c r="AB21" i="16"/>
  <c r="C117" i="16"/>
  <c r="C121" i="16"/>
  <c r="D73" i="19"/>
  <c r="C91" i="16"/>
  <c r="D115" i="19"/>
  <c r="H50" i="2"/>
  <c r="D54" i="19"/>
  <c r="C72" i="16"/>
  <c r="D67" i="19"/>
  <c r="C85" i="16"/>
  <c r="D69" i="19"/>
  <c r="C87" i="16"/>
  <c r="D78" i="19"/>
  <c r="C96" i="16"/>
  <c r="D97" i="19"/>
  <c r="H30" i="2"/>
  <c r="D47" i="19"/>
  <c r="D82" i="19"/>
  <c r="C100" i="16"/>
  <c r="D105" i="19"/>
  <c r="H38" i="2"/>
  <c r="D91" i="19"/>
  <c r="D48" i="19"/>
  <c r="C65" i="16"/>
  <c r="D74" i="19"/>
  <c r="C92" i="16"/>
  <c r="D45" i="19"/>
  <c r="D68" i="19"/>
  <c r="C86" i="16"/>
  <c r="D66" i="19"/>
  <c r="C84" i="16"/>
  <c r="D70" i="19"/>
  <c r="C88" i="16"/>
  <c r="AD49" i="2"/>
  <c r="X83" i="19"/>
  <c r="X41" i="19"/>
  <c r="AC79" i="23"/>
  <c r="AC86" i="23"/>
  <c r="AC61" i="23"/>
  <c r="AC31" i="23"/>
  <c r="AC28" i="23"/>
  <c r="AC23" i="23"/>
  <c r="C64" i="16"/>
  <c r="AD47" i="19"/>
  <c r="H51" i="2"/>
  <c r="C114" i="16"/>
  <c r="H29" i="2"/>
  <c r="C126" i="16"/>
  <c r="H41" i="2"/>
  <c r="C109" i="16"/>
  <c r="H24" i="2"/>
  <c r="AD18" i="19"/>
  <c r="H22" i="15"/>
  <c r="H14" i="2"/>
  <c r="C81" i="16"/>
  <c r="C122" i="16"/>
  <c r="AD104" i="19"/>
  <c r="C128" i="17"/>
  <c r="C113" i="16"/>
  <c r="D117" i="19"/>
  <c r="D83" i="19"/>
  <c r="H18" i="2"/>
  <c r="C116" i="16"/>
  <c r="C110" i="16"/>
  <c r="C123" i="16"/>
  <c r="C118" i="16"/>
  <c r="D41" i="19"/>
  <c r="C111" i="16"/>
  <c r="C61" i="16"/>
  <c r="C115" i="16"/>
  <c r="D101" i="19"/>
  <c r="D108" i="19"/>
  <c r="X87" i="19"/>
  <c r="X111" i="19"/>
  <c r="AC33" i="23"/>
  <c r="AC65" i="23"/>
  <c r="AC89" i="23"/>
  <c r="D87" i="19"/>
  <c r="D111" i="19"/>
  <c r="D121" i="19"/>
  <c r="J19" i="33"/>
  <c r="J16" i="33"/>
  <c r="D20" i="33"/>
  <c r="J20" i="33"/>
  <c r="L36" i="15"/>
  <c r="P20" i="22"/>
  <c r="I28" i="36"/>
  <c r="G28" i="36"/>
  <c r="N39" i="19"/>
  <c r="N36" i="19"/>
  <c r="B34" i="6"/>
  <c r="AE103" i="17"/>
  <c r="AJ103" i="17"/>
  <c r="R39" i="19"/>
  <c r="P44" i="22"/>
  <c r="P66" i="22"/>
  <c r="R52" i="21"/>
  <c r="L42" i="2"/>
  <c r="L53" i="15"/>
  <c r="P23" i="22"/>
  <c r="N41" i="19"/>
  <c r="L11" i="32"/>
  <c r="J13" i="33"/>
  <c r="K14" i="31"/>
  <c r="D11" i="32"/>
  <c r="C14" i="31"/>
  <c r="A8" i="31"/>
  <c r="A7" i="32"/>
  <c r="A7" i="33"/>
  <c r="A6" i="34"/>
  <c r="D13" i="33"/>
  <c r="F34" i="6"/>
  <c r="S23" i="23"/>
  <c r="AA51" i="3"/>
  <c r="AA52" i="3"/>
  <c r="G30" i="9"/>
  <c r="R36" i="19"/>
  <c r="S28" i="23"/>
  <c r="L51" i="2"/>
  <c r="AD22" i="19"/>
  <c r="S61" i="23"/>
  <c r="A6" i="37"/>
  <c r="T9" i="37"/>
  <c r="B9" i="37"/>
  <c r="S33" i="23"/>
  <c r="S65" i="23"/>
  <c r="R101" i="19"/>
  <c r="R108" i="19"/>
  <c r="R83" i="19"/>
  <c r="S79" i="23"/>
  <c r="S86" i="23"/>
  <c r="S96" i="23"/>
  <c r="R29" i="19"/>
  <c r="R41" i="19"/>
  <c r="S89" i="23"/>
  <c r="S101" i="23"/>
  <c r="A6" i="43"/>
  <c r="T9" i="43"/>
  <c r="B9" i="43"/>
  <c r="AB10" i="18"/>
  <c r="AB12" i="17"/>
  <c r="AD12" i="29"/>
  <c r="AD12" i="28"/>
  <c r="AD12" i="27"/>
  <c r="AE14" i="26"/>
  <c r="AG12" i="25"/>
  <c r="AG12" i="24"/>
  <c r="AI13" i="23"/>
  <c r="AD10" i="22"/>
  <c r="AG11" i="21"/>
  <c r="AG11" i="20"/>
  <c r="AG12" i="19"/>
  <c r="AF12" i="18"/>
  <c r="AE14" i="17"/>
  <c r="AA12" i="29"/>
  <c r="AA12" i="28"/>
  <c r="AA12" i="27"/>
  <c r="AB14" i="26"/>
  <c r="AD12" i="25"/>
  <c r="AD12" i="24"/>
  <c r="AF13" i="23"/>
  <c r="AA10" i="22"/>
  <c r="AD11" i="21"/>
  <c r="AD11" i="20"/>
  <c r="AD12" i="19"/>
  <c r="AC12" i="18"/>
  <c r="AB14" i="17"/>
  <c r="T11" i="29"/>
  <c r="T11" i="28"/>
  <c r="T11" i="27"/>
  <c r="U13" i="26"/>
  <c r="W11" i="25"/>
  <c r="W11" i="24"/>
  <c r="W12" i="23"/>
  <c r="T9" i="22"/>
  <c r="V10" i="21"/>
  <c r="V10" i="20"/>
  <c r="V11" i="19"/>
  <c r="V11" i="18"/>
  <c r="U13" i="17"/>
  <c r="B11" i="29"/>
  <c r="B11" i="28"/>
  <c r="B11" i="27"/>
  <c r="C13" i="26"/>
  <c r="E11" i="25"/>
  <c r="E11" i="24"/>
  <c r="E12" i="23"/>
  <c r="B9" i="22"/>
  <c r="D10" i="21"/>
  <c r="D10" i="20"/>
  <c r="D11" i="19"/>
  <c r="D11" i="18"/>
  <c r="C13" i="17"/>
  <c r="A6" i="29"/>
  <c r="A6" i="28"/>
  <c r="A6" i="27"/>
  <c r="A6" i="26"/>
  <c r="B6" i="25"/>
  <c r="B6" i="24"/>
  <c r="B6" i="23"/>
  <c r="A6" i="22"/>
  <c r="B6" i="21"/>
  <c r="B6" i="20"/>
  <c r="B7" i="19"/>
  <c r="B8" i="18"/>
  <c r="A6" i="17"/>
  <c r="AD13" i="15"/>
  <c r="AB13" i="15"/>
  <c r="F13" i="15"/>
  <c r="F12" i="15"/>
  <c r="D13" i="15"/>
  <c r="P15" i="6"/>
  <c r="N15" i="6"/>
  <c r="D15" i="6"/>
  <c r="D14" i="6"/>
  <c r="B15" i="6"/>
  <c r="N15" i="5"/>
  <c r="P15" i="5"/>
  <c r="D15" i="5"/>
  <c r="D14" i="5"/>
  <c r="B15" i="5"/>
  <c r="L96" i="18"/>
  <c r="L119" i="18"/>
  <c r="AA13" i="28"/>
  <c r="B37" i="5"/>
  <c r="F29" i="15"/>
  <c r="AI50" i="23"/>
  <c r="AG18" i="19"/>
  <c r="AL18" i="19"/>
  <c r="B19" i="6"/>
  <c r="AI83" i="18"/>
  <c r="AI56" i="23"/>
  <c r="F19" i="6"/>
  <c r="AI60" i="23"/>
  <c r="AD100" i="20"/>
  <c r="AD107" i="20"/>
  <c r="P39" i="19"/>
  <c r="AD38" i="20"/>
  <c r="AI21" i="23"/>
  <c r="AI26" i="23"/>
  <c r="AD35" i="20"/>
  <c r="P44" i="18"/>
  <c r="P37" i="18"/>
  <c r="P110" i="18"/>
  <c r="P116" i="18"/>
  <c r="P24" i="18"/>
  <c r="P28" i="18"/>
  <c r="P134" i="18"/>
  <c r="P52" i="18"/>
  <c r="AD40" i="20"/>
  <c r="X117" i="19"/>
  <c r="X121" i="19"/>
  <c r="Q47" i="17"/>
  <c r="Q26" i="17"/>
  <c r="B29" i="5"/>
  <c r="Q34" i="26"/>
  <c r="P86" i="21"/>
  <c r="Q40" i="17"/>
  <c r="Q55" i="17"/>
  <c r="N66" i="22"/>
  <c r="F29" i="5"/>
  <c r="V34" i="15"/>
  <c r="Q22" i="24"/>
  <c r="R24" i="18"/>
  <c r="R28" i="18"/>
  <c r="P36" i="19"/>
  <c r="F26" i="6"/>
  <c r="F29" i="6"/>
  <c r="F39" i="6"/>
  <c r="F21" i="5"/>
  <c r="P19" i="27"/>
  <c r="B26" i="6"/>
  <c r="B29" i="6"/>
  <c r="B39" i="6"/>
  <c r="F37" i="5"/>
  <c r="P54" i="18"/>
  <c r="P96" i="18"/>
  <c r="P119" i="18"/>
  <c r="P138" i="18"/>
  <c r="AF57" i="23"/>
  <c r="P41" i="19"/>
  <c r="M105" i="16"/>
  <c r="M131" i="16"/>
  <c r="M105" i="17"/>
  <c r="M131" i="17"/>
  <c r="M141" i="17"/>
  <c r="Q101" i="17"/>
  <c r="Q101" i="16"/>
  <c r="R86" i="21"/>
  <c r="R117" i="19"/>
  <c r="R87" i="19"/>
  <c r="R111" i="19"/>
  <c r="Q119" i="17"/>
  <c r="Q128" i="17"/>
  <c r="Q119" i="16"/>
  <c r="Q128" i="16"/>
  <c r="P101" i="19"/>
  <c r="P108" i="19"/>
  <c r="F32" i="5"/>
  <c r="F42" i="5"/>
  <c r="Q47" i="16"/>
  <c r="Q40" i="16"/>
  <c r="D36" i="15"/>
  <c r="D44" i="15"/>
  <c r="D53" i="15"/>
  <c r="P83" i="19"/>
  <c r="P87" i="19"/>
  <c r="P111" i="19"/>
  <c r="P121" i="19"/>
  <c r="R121" i="19"/>
  <c r="Q137" i="17"/>
  <c r="AD17" i="29"/>
  <c r="AA17" i="28"/>
  <c r="AD25" i="29"/>
  <c r="AI25" i="29"/>
  <c r="AA25" i="28"/>
  <c r="AD33" i="29"/>
  <c r="AD76" i="25"/>
  <c r="AF58" i="23"/>
  <c r="AF52" i="23"/>
  <c r="AA29" i="27"/>
  <c r="AB47" i="26"/>
  <c r="AD27" i="24"/>
  <c r="AA19" i="27"/>
  <c r="AF77" i="23"/>
  <c r="AD30" i="24"/>
  <c r="AD42" i="25"/>
  <c r="AD46" i="25"/>
  <c r="AD82" i="20"/>
  <c r="AD60" i="24"/>
  <c r="AB34" i="26"/>
  <c r="AF56" i="23"/>
  <c r="AA56" i="22"/>
  <c r="AD52" i="21"/>
  <c r="AD56" i="21"/>
  <c r="AD95" i="24"/>
  <c r="AF92" i="23"/>
  <c r="AF43" i="23"/>
  <c r="AD22" i="24"/>
  <c r="AF41" i="23"/>
  <c r="AD70" i="21"/>
  <c r="AD77" i="21"/>
  <c r="AA20" i="22"/>
  <c r="AA42" i="27"/>
  <c r="AA66" i="22"/>
  <c r="AF44" i="23"/>
  <c r="AF69" i="23"/>
  <c r="AD78" i="24"/>
  <c r="AD85" i="24"/>
  <c r="AB23" i="26"/>
  <c r="AF46" i="23"/>
  <c r="AF74" i="23"/>
  <c r="AA23" i="22"/>
  <c r="AD60" i="25"/>
  <c r="AD67" i="25"/>
  <c r="AF30" i="23"/>
  <c r="AF54" i="23"/>
  <c r="AF59" i="23"/>
  <c r="AF48" i="23"/>
  <c r="AF63" i="23"/>
  <c r="AF39" i="23"/>
  <c r="AF45" i="23"/>
  <c r="AF50" i="23"/>
  <c r="AF76" i="23"/>
  <c r="AF42" i="23"/>
  <c r="AD28" i="29"/>
  <c r="AF55" i="23"/>
  <c r="AA28" i="28"/>
  <c r="H42" i="37"/>
  <c r="F42" i="37"/>
  <c r="D42" i="37"/>
  <c r="B42" i="37"/>
  <c r="H32" i="37"/>
  <c r="F32" i="37"/>
  <c r="D32" i="37"/>
  <c r="B32" i="37"/>
  <c r="H24" i="37"/>
  <c r="F24" i="37"/>
  <c r="D24" i="37"/>
  <c r="B24" i="37"/>
  <c r="AD70" i="25"/>
  <c r="AD80" i="25"/>
  <c r="AD86" i="20"/>
  <c r="AD110" i="20"/>
  <c r="AD37" i="29"/>
  <c r="AA25" i="22"/>
  <c r="AA48" i="22"/>
  <c r="AA59" i="22"/>
  <c r="AA71" i="22"/>
  <c r="AA34" i="27"/>
  <c r="AA48" i="27"/>
  <c r="AF27" i="23"/>
  <c r="N101" i="19"/>
  <c r="N108" i="19"/>
  <c r="AF21" i="23"/>
  <c r="AB39" i="26"/>
  <c r="AB53" i="26"/>
  <c r="AD32" i="24"/>
  <c r="AD64" i="24"/>
  <c r="AD88" i="24"/>
  <c r="AD100" i="24"/>
  <c r="AF26" i="23"/>
  <c r="AD80" i="21"/>
  <c r="AF75" i="23"/>
  <c r="AF22" i="23"/>
  <c r="AF49" i="23"/>
  <c r="AF81" i="23"/>
  <c r="AF51" i="23"/>
  <c r="AF70" i="23"/>
  <c r="AF73" i="23"/>
  <c r="AF84" i="23"/>
  <c r="AF71" i="23"/>
  <c r="AF78" i="23"/>
  <c r="AF83" i="23"/>
  <c r="AF82" i="23"/>
  <c r="D44" i="37"/>
  <c r="H44" i="37"/>
  <c r="F44" i="37"/>
  <c r="B44" i="37"/>
  <c r="N83" i="19"/>
  <c r="AB101" i="19"/>
  <c r="N87" i="19"/>
  <c r="N111" i="19"/>
  <c r="H25" i="29"/>
  <c r="F25" i="29"/>
  <c r="D25" i="29"/>
  <c r="B25" i="29"/>
  <c r="H17" i="29"/>
  <c r="F17" i="29"/>
  <c r="D17" i="29"/>
  <c r="B17" i="29"/>
  <c r="F25" i="28"/>
  <c r="D25" i="28"/>
  <c r="B25" i="28"/>
  <c r="H25" i="28"/>
  <c r="F17" i="28"/>
  <c r="D17" i="28"/>
  <c r="B17" i="28"/>
  <c r="H17" i="28"/>
  <c r="H29" i="27"/>
  <c r="F29" i="27"/>
  <c r="D29" i="27"/>
  <c r="B29" i="27"/>
  <c r="H19" i="27"/>
  <c r="F19" i="27"/>
  <c r="D19" i="27"/>
  <c r="B19" i="27"/>
  <c r="I34" i="26"/>
  <c r="G34" i="26"/>
  <c r="E34" i="26"/>
  <c r="C34" i="26"/>
  <c r="I23" i="26"/>
  <c r="G23" i="26"/>
  <c r="E23" i="26"/>
  <c r="C23" i="26"/>
  <c r="K60" i="25"/>
  <c r="K67" i="25"/>
  <c r="I60" i="25"/>
  <c r="I67" i="25"/>
  <c r="G60" i="25"/>
  <c r="G67" i="25"/>
  <c r="E60" i="25"/>
  <c r="E67" i="25"/>
  <c r="K42" i="25"/>
  <c r="K46" i="25"/>
  <c r="I42" i="25"/>
  <c r="I46" i="25"/>
  <c r="G42" i="25"/>
  <c r="G46" i="25"/>
  <c r="E42" i="25"/>
  <c r="E46" i="25"/>
  <c r="K78" i="24"/>
  <c r="K85" i="24"/>
  <c r="I78" i="24"/>
  <c r="I85" i="24"/>
  <c r="G78" i="24"/>
  <c r="G85" i="24"/>
  <c r="E78" i="24"/>
  <c r="E85" i="24"/>
  <c r="K60" i="24"/>
  <c r="I60" i="24"/>
  <c r="G60" i="24"/>
  <c r="E60" i="24"/>
  <c r="K30" i="24"/>
  <c r="I30" i="24"/>
  <c r="E30" i="24"/>
  <c r="K27" i="24"/>
  <c r="I27" i="24"/>
  <c r="G27" i="24"/>
  <c r="E27" i="24"/>
  <c r="K22" i="24"/>
  <c r="I22" i="24"/>
  <c r="G22" i="24"/>
  <c r="E22" i="24"/>
  <c r="K31" i="23"/>
  <c r="I31" i="23"/>
  <c r="G31" i="23"/>
  <c r="E31" i="23"/>
  <c r="P17" i="2"/>
  <c r="K28" i="23"/>
  <c r="G28" i="23"/>
  <c r="G23" i="23"/>
  <c r="H56" i="22"/>
  <c r="F56" i="22"/>
  <c r="D56" i="22"/>
  <c r="B56" i="22"/>
  <c r="H44" i="22"/>
  <c r="F44" i="22"/>
  <c r="D44" i="22"/>
  <c r="B44" i="22"/>
  <c r="L18" i="2"/>
  <c r="H23" i="22"/>
  <c r="F23" i="22"/>
  <c r="D23" i="22"/>
  <c r="B23" i="22"/>
  <c r="L17" i="2"/>
  <c r="H20" i="22"/>
  <c r="F20" i="22"/>
  <c r="D20" i="22"/>
  <c r="B20" i="22"/>
  <c r="L15" i="2"/>
  <c r="H70" i="21"/>
  <c r="H77" i="21"/>
  <c r="F70" i="21"/>
  <c r="F77" i="21"/>
  <c r="D70" i="21"/>
  <c r="D77" i="21"/>
  <c r="J52" i="21"/>
  <c r="J56" i="21"/>
  <c r="J80" i="21"/>
  <c r="H52" i="21"/>
  <c r="H56" i="21"/>
  <c r="F52" i="21"/>
  <c r="F56" i="21"/>
  <c r="D52" i="21"/>
  <c r="D56" i="21"/>
  <c r="J100" i="20"/>
  <c r="J107" i="20"/>
  <c r="H100" i="20"/>
  <c r="H107" i="20"/>
  <c r="F100" i="20"/>
  <c r="F107" i="20"/>
  <c r="D100" i="20"/>
  <c r="D107" i="20"/>
  <c r="J82" i="20"/>
  <c r="H82" i="20"/>
  <c r="F82" i="20"/>
  <c r="D82" i="20"/>
  <c r="H21" i="3"/>
  <c r="J38" i="20"/>
  <c r="H38" i="20"/>
  <c r="F38" i="20"/>
  <c r="D38" i="20"/>
  <c r="H20" i="3"/>
  <c r="J35" i="20"/>
  <c r="H35" i="20"/>
  <c r="F35" i="20"/>
  <c r="D35" i="20"/>
  <c r="H19" i="3"/>
  <c r="J28" i="20"/>
  <c r="H28" i="20"/>
  <c r="F28" i="20"/>
  <c r="D28" i="20"/>
  <c r="H18" i="3"/>
  <c r="G111" i="19"/>
  <c r="J39" i="19"/>
  <c r="H39" i="19"/>
  <c r="F39" i="19"/>
  <c r="J36" i="19"/>
  <c r="H36" i="19"/>
  <c r="J110" i="18"/>
  <c r="J116" i="18"/>
  <c r="H110" i="18"/>
  <c r="H116" i="18"/>
  <c r="F110" i="18"/>
  <c r="F116" i="18"/>
  <c r="D110" i="18"/>
  <c r="D116" i="18"/>
  <c r="J92" i="18"/>
  <c r="H92" i="18"/>
  <c r="F92" i="18"/>
  <c r="D92" i="18"/>
  <c r="D18" i="2"/>
  <c r="J52" i="18"/>
  <c r="H52" i="18"/>
  <c r="F52" i="18"/>
  <c r="D52" i="18"/>
  <c r="D17" i="2"/>
  <c r="J44" i="18"/>
  <c r="H44" i="18"/>
  <c r="F44" i="18"/>
  <c r="D44" i="18"/>
  <c r="D16" i="2"/>
  <c r="J37" i="18"/>
  <c r="H37" i="18"/>
  <c r="F37" i="18"/>
  <c r="D37" i="18"/>
  <c r="D15" i="2"/>
  <c r="J24" i="18"/>
  <c r="J28" i="18"/>
  <c r="H24" i="18"/>
  <c r="H28" i="18"/>
  <c r="F24" i="18"/>
  <c r="F28" i="18"/>
  <c r="J40" i="20"/>
  <c r="J86" i="20"/>
  <c r="J110" i="20"/>
  <c r="I70" i="25"/>
  <c r="D28" i="29"/>
  <c r="D40" i="20"/>
  <c r="D86" i="20"/>
  <c r="D110" i="20"/>
  <c r="L25" i="15"/>
  <c r="L55" i="15"/>
  <c r="V25" i="22"/>
  <c r="V48" i="22"/>
  <c r="V59" i="22"/>
  <c r="V71" i="22"/>
  <c r="F28" i="29"/>
  <c r="J54" i="18"/>
  <c r="J96" i="18"/>
  <c r="J119" i="18"/>
  <c r="H25" i="22"/>
  <c r="H48" i="22"/>
  <c r="H59" i="22"/>
  <c r="P25" i="22"/>
  <c r="P48" i="22"/>
  <c r="Q30" i="17"/>
  <c r="Q57" i="17"/>
  <c r="Q105" i="17"/>
  <c r="Q131" i="17"/>
  <c r="Q141" i="17"/>
  <c r="F34" i="27"/>
  <c r="H28" i="29"/>
  <c r="K70" i="25"/>
  <c r="G39" i="26"/>
  <c r="D34" i="27"/>
  <c r="I39" i="26"/>
  <c r="D28" i="28"/>
  <c r="H34" i="27"/>
  <c r="H29" i="19"/>
  <c r="H101" i="19"/>
  <c r="H108" i="19"/>
  <c r="H54" i="18"/>
  <c r="H96" i="18"/>
  <c r="H119" i="18"/>
  <c r="B25" i="22"/>
  <c r="B48" i="22"/>
  <c r="B59" i="22"/>
  <c r="J83" i="19"/>
  <c r="J29" i="19"/>
  <c r="G79" i="23"/>
  <c r="G86" i="23"/>
  <c r="I79" i="23"/>
  <c r="I86" i="23"/>
  <c r="F29" i="19"/>
  <c r="F101" i="19"/>
  <c r="F108" i="19"/>
  <c r="F36" i="19"/>
  <c r="F80" i="21"/>
  <c r="F40" i="20"/>
  <c r="F86" i="20"/>
  <c r="F110" i="20"/>
  <c r="F54" i="18"/>
  <c r="F96" i="18"/>
  <c r="F119" i="18"/>
  <c r="H83" i="19"/>
  <c r="F83" i="19"/>
  <c r="D25" i="22"/>
  <c r="D48" i="22"/>
  <c r="D59" i="22"/>
  <c r="B34" i="27"/>
  <c r="E70" i="25"/>
  <c r="E39" i="26"/>
  <c r="K23" i="23"/>
  <c r="G70" i="25"/>
  <c r="C39" i="26"/>
  <c r="H40" i="20"/>
  <c r="H86" i="20"/>
  <c r="H110" i="20"/>
  <c r="E79" i="23"/>
  <c r="E86" i="23"/>
  <c r="J101" i="19"/>
  <c r="J108" i="19"/>
  <c r="I23" i="23"/>
  <c r="E28" i="23"/>
  <c r="P16" i="2"/>
  <c r="H28" i="28"/>
  <c r="F25" i="22"/>
  <c r="F48" i="22"/>
  <c r="F59" i="22"/>
  <c r="H80" i="21"/>
  <c r="B28" i="29"/>
  <c r="B28" i="28"/>
  <c r="F28" i="28"/>
  <c r="D80" i="21"/>
  <c r="I28" i="23"/>
  <c r="G61" i="23"/>
  <c r="G32" i="24"/>
  <c r="G64" i="24"/>
  <c r="G88" i="24"/>
  <c r="I32" i="24"/>
  <c r="I64" i="24"/>
  <c r="I88" i="24"/>
  <c r="K32" i="24"/>
  <c r="K64" i="24"/>
  <c r="K88" i="24"/>
  <c r="E32" i="24"/>
  <c r="E64" i="24"/>
  <c r="E88" i="24"/>
  <c r="K79" i="23"/>
  <c r="K86" i="23"/>
  <c r="I61" i="23"/>
  <c r="E61" i="23"/>
  <c r="P18" i="2"/>
  <c r="K61" i="23"/>
  <c r="G33" i="23"/>
  <c r="K33" i="23"/>
  <c r="K65" i="23"/>
  <c r="K89" i="23"/>
  <c r="J41" i="19"/>
  <c r="J87" i="19"/>
  <c r="J111" i="19"/>
  <c r="H41" i="19"/>
  <c r="H87" i="19"/>
  <c r="H111" i="19"/>
  <c r="F41" i="19"/>
  <c r="F87" i="19"/>
  <c r="F111" i="19"/>
  <c r="I33" i="23"/>
  <c r="I65" i="23"/>
  <c r="I89" i="23"/>
  <c r="G65" i="23"/>
  <c r="G89" i="23"/>
  <c r="A5" i="14"/>
  <c r="A5" i="13"/>
  <c r="A5" i="12"/>
  <c r="A5" i="11"/>
  <c r="A5" i="10"/>
  <c r="A5" i="9"/>
  <c r="A5" i="8"/>
  <c r="AD49" i="18"/>
  <c r="R39" i="15"/>
  <c r="E26" i="10"/>
  <c r="O33" i="14"/>
  <c r="E23" i="13"/>
  <c r="E27" i="14"/>
  <c r="E20" i="13"/>
  <c r="E24" i="10"/>
  <c r="E25" i="10"/>
  <c r="E22" i="13"/>
  <c r="V22" i="11"/>
  <c r="E34" i="10"/>
  <c r="P35" i="11"/>
  <c r="E32" i="10"/>
  <c r="E26" i="13"/>
  <c r="E21" i="13"/>
  <c r="E33" i="10"/>
  <c r="V21" i="11"/>
  <c r="O27" i="14"/>
  <c r="E25" i="13"/>
  <c r="E21" i="10"/>
  <c r="P27" i="11"/>
  <c r="V20" i="11"/>
  <c r="V33" i="11"/>
  <c r="E32" i="13"/>
  <c r="E24" i="13"/>
  <c r="V23" i="11"/>
  <c r="E30" i="13"/>
  <c r="E33" i="14"/>
  <c r="E30" i="10"/>
  <c r="E20" i="10"/>
  <c r="E23" i="10"/>
  <c r="E31" i="13"/>
  <c r="E22" i="10"/>
  <c r="E31" i="10"/>
  <c r="K137" i="30"/>
  <c r="K135" i="30"/>
  <c r="O37" i="14"/>
  <c r="P39" i="11"/>
  <c r="E27" i="10"/>
  <c r="E27" i="13"/>
  <c r="E35" i="10"/>
  <c r="E33" i="13"/>
  <c r="E37" i="14"/>
  <c r="E31" i="9"/>
  <c r="E43" i="9"/>
  <c r="T92" i="18"/>
  <c r="X92" i="18"/>
  <c r="R92" i="18"/>
  <c r="E37" i="13"/>
  <c r="E39" i="10"/>
  <c r="E47" i="9"/>
  <c r="Q55" i="16"/>
  <c r="W47" i="17"/>
  <c r="W26" i="17"/>
  <c r="O119" i="17"/>
  <c r="S119" i="17"/>
  <c r="W26" i="16"/>
  <c r="V83" i="19"/>
  <c r="O47" i="17"/>
  <c r="S47" i="17"/>
  <c r="O26" i="16"/>
  <c r="T83" i="19"/>
  <c r="I26" i="16"/>
  <c r="I26" i="17"/>
  <c r="I47" i="17"/>
  <c r="I119" i="17"/>
  <c r="O55" i="17"/>
  <c r="S40" i="17"/>
  <c r="O30" i="16"/>
  <c r="O30" i="17"/>
  <c r="W40" i="17"/>
  <c r="O40" i="17"/>
  <c r="W55" i="17"/>
  <c r="W30" i="16"/>
  <c r="W30" i="17"/>
  <c r="S55" i="17"/>
  <c r="O57" i="17"/>
  <c r="P42" i="37"/>
  <c r="V42" i="37"/>
  <c r="W96" i="23"/>
  <c r="U60" i="24"/>
  <c r="X42" i="37"/>
  <c r="L42" i="37"/>
  <c r="X32" i="37"/>
  <c r="W28" i="23"/>
  <c r="AA96" i="23"/>
  <c r="R32" i="37"/>
  <c r="Q31" i="23"/>
  <c r="Q96" i="23"/>
  <c r="W31" i="23"/>
  <c r="V32" i="37"/>
  <c r="P32" i="37"/>
  <c r="Y96" i="23"/>
  <c r="W60" i="24"/>
  <c r="U96" i="23"/>
  <c r="S60" i="24"/>
  <c r="O96" i="23"/>
  <c r="R42" i="37"/>
  <c r="U31" i="23"/>
  <c r="Q60" i="24"/>
  <c r="T42" i="37"/>
  <c r="T32" i="37"/>
  <c r="N42" i="37"/>
  <c r="N32" i="37"/>
  <c r="S128" i="17"/>
  <c r="W137" i="17"/>
  <c r="O101" i="17"/>
  <c r="O128" i="17"/>
  <c r="S137" i="17"/>
  <c r="W101" i="17"/>
  <c r="S101" i="17"/>
  <c r="U23" i="23"/>
  <c r="Y137" i="17"/>
  <c r="Q28" i="23"/>
  <c r="O55" i="16"/>
  <c r="W57" i="17"/>
  <c r="P44" i="37"/>
  <c r="W47" i="16"/>
  <c r="I40" i="17"/>
  <c r="I30" i="17"/>
  <c r="I30" i="16"/>
  <c r="I55" i="17"/>
  <c r="K96" i="23"/>
  <c r="B66" i="22"/>
  <c r="T44" i="37"/>
  <c r="O119" i="16"/>
  <c r="O128" i="16"/>
  <c r="S40" i="16"/>
  <c r="Q79" i="23"/>
  <c r="Q86" i="23"/>
  <c r="O101" i="16"/>
  <c r="Y28" i="23"/>
  <c r="W23" i="23"/>
  <c r="O40" i="16"/>
  <c r="S55" i="16"/>
  <c r="Q23" i="23"/>
  <c r="L44" i="37"/>
  <c r="W40" i="16"/>
  <c r="S119" i="16"/>
  <c r="S128" i="16"/>
  <c r="W79" i="23"/>
  <c r="W86" i="23"/>
  <c r="R24" i="37"/>
  <c r="T24" i="37"/>
  <c r="V24" i="37"/>
  <c r="X24" i="37"/>
  <c r="N24" i="37"/>
  <c r="P24" i="37"/>
  <c r="U28" i="23"/>
  <c r="V44" i="37"/>
  <c r="O47" i="16"/>
  <c r="U79" i="23"/>
  <c r="U86" i="23"/>
  <c r="N44" i="37"/>
  <c r="R44" i="37"/>
  <c r="S47" i="16"/>
  <c r="W105" i="17"/>
  <c r="W55" i="16"/>
  <c r="O105" i="17"/>
  <c r="O131" i="17"/>
  <c r="O141" i="17"/>
  <c r="X44" i="37"/>
  <c r="Y33" i="23"/>
  <c r="Y65" i="23"/>
  <c r="Y89" i="23"/>
  <c r="Y101" i="23"/>
  <c r="Q33" i="23"/>
  <c r="Q65" i="23"/>
  <c r="AA101" i="23"/>
  <c r="W33" i="23"/>
  <c r="U33" i="23"/>
  <c r="O101" i="23"/>
  <c r="G39" i="9"/>
  <c r="I128" i="17"/>
  <c r="AI57" i="23"/>
  <c r="AN57" i="23"/>
  <c r="I55" i="16"/>
  <c r="I119" i="16"/>
  <c r="I128" i="16"/>
  <c r="I47" i="16"/>
  <c r="I57" i="17"/>
  <c r="I40" i="16"/>
  <c r="I96" i="23"/>
  <c r="I137" i="17"/>
  <c r="I101" i="16"/>
  <c r="I101" i="17"/>
  <c r="W57" i="16"/>
  <c r="O57" i="16"/>
  <c r="O105" i="16"/>
  <c r="O131" i="16"/>
  <c r="Q89" i="23"/>
  <c r="Q101" i="23"/>
  <c r="K101" i="23"/>
  <c r="I105" i="17"/>
  <c r="I131" i="17"/>
  <c r="I141" i="17"/>
  <c r="I57" i="16"/>
  <c r="I105" i="16"/>
  <c r="I131" i="16"/>
  <c r="P28" i="5"/>
  <c r="AG38" i="19"/>
  <c r="J51" i="3"/>
  <c r="G26" i="11"/>
  <c r="I42" i="10"/>
  <c r="I35" i="10"/>
  <c r="I40" i="13"/>
  <c r="N28" i="15"/>
  <c r="N36" i="15"/>
  <c r="N23" i="15"/>
  <c r="G96" i="23"/>
  <c r="G101" i="23"/>
  <c r="AA53" i="3"/>
  <c r="R34" i="11"/>
  <c r="E27" i="11"/>
  <c r="E26" i="12"/>
  <c r="E32" i="12"/>
  <c r="AG31" i="19"/>
  <c r="E35" i="11"/>
  <c r="AD115" i="19"/>
  <c r="E39" i="11"/>
  <c r="E36" i="12"/>
  <c r="C95" i="17"/>
  <c r="E30" i="8"/>
  <c r="AI27" i="23"/>
  <c r="V23" i="15"/>
  <c r="Q26" i="16"/>
  <c r="Q30" i="16"/>
  <c r="Q57" i="16"/>
  <c r="Q105" i="16"/>
  <c r="Q131" i="16"/>
  <c r="K32" i="31"/>
  <c r="AI55" i="23"/>
  <c r="AG58" i="19"/>
  <c r="AG63" i="19"/>
  <c r="AI52" i="23"/>
  <c r="AG60" i="19"/>
  <c r="AG25" i="19"/>
  <c r="AI49" i="23"/>
  <c r="AI71" i="23"/>
  <c r="AI92" i="23"/>
  <c r="AN92" i="23"/>
  <c r="AI58" i="23"/>
  <c r="AI48" i="23"/>
  <c r="AN48" i="23"/>
  <c r="P33" i="6"/>
  <c r="AG69" i="19"/>
  <c r="AD44" i="22"/>
  <c r="AG78" i="19"/>
  <c r="K110" i="30"/>
  <c r="K106" i="30"/>
  <c r="AG97" i="19"/>
  <c r="AG48" i="19"/>
  <c r="AF92" i="18"/>
  <c r="AI82" i="23"/>
  <c r="AG77" i="19"/>
  <c r="AG52" i="19"/>
  <c r="AI30" i="23"/>
  <c r="AI31" i="23"/>
  <c r="P32" i="6"/>
  <c r="AG99" i="19"/>
  <c r="AI45" i="23"/>
  <c r="AI39" i="23"/>
  <c r="AI37" i="23"/>
  <c r="AG74" i="19"/>
  <c r="AG76" i="19"/>
  <c r="AG91" i="19"/>
  <c r="AI70" i="23"/>
  <c r="AG32" i="19"/>
  <c r="AG100" i="19"/>
  <c r="AG57" i="19"/>
  <c r="AI83" i="23"/>
  <c r="AG62" i="19"/>
  <c r="AG26" i="19"/>
  <c r="P24" i="6"/>
  <c r="AG24" i="19"/>
  <c r="AE35" i="16"/>
  <c r="AG98" i="19"/>
  <c r="AG55" i="19"/>
  <c r="AL55" i="19"/>
  <c r="P26" i="5"/>
  <c r="AG82" i="19"/>
  <c r="AG65" i="19"/>
  <c r="AD23" i="22"/>
  <c r="AG33" i="19"/>
  <c r="AG81" i="19"/>
  <c r="AI76" i="23"/>
  <c r="AG96" i="19"/>
  <c r="AG54" i="19"/>
  <c r="AG35" i="19"/>
  <c r="AG56" i="19"/>
  <c r="AI73" i="23"/>
  <c r="AI22" i="23"/>
  <c r="AI59" i="23"/>
  <c r="AI20" i="23"/>
  <c r="AI51" i="23"/>
  <c r="AG45" i="19"/>
  <c r="AI54" i="23"/>
  <c r="AD40" i="2"/>
  <c r="P20" i="5"/>
  <c r="AG103" i="19"/>
  <c r="AG34" i="19"/>
  <c r="AI69" i="23"/>
  <c r="AN69" i="23"/>
  <c r="P36" i="5"/>
  <c r="AG61" i="19"/>
  <c r="AG53" i="19"/>
  <c r="AG92" i="19"/>
  <c r="AI78" i="23"/>
  <c r="AG47" i="19"/>
  <c r="AI81" i="23"/>
  <c r="AI41" i="23"/>
  <c r="AI75" i="23"/>
  <c r="AG75" i="19"/>
  <c r="AE93" i="16"/>
  <c r="AG72" i="19"/>
  <c r="AI46" i="23"/>
  <c r="AG67" i="19"/>
  <c r="AG22" i="19"/>
  <c r="AI25" i="23"/>
  <c r="AG28" i="19"/>
  <c r="AE135" i="17"/>
  <c r="AG50" i="19"/>
  <c r="AI63" i="23"/>
  <c r="AI77" i="23"/>
  <c r="AG27" i="19"/>
  <c r="P25" i="6"/>
  <c r="U25" i="6"/>
  <c r="AD20" i="22"/>
  <c r="AG93" i="19"/>
  <c r="AD56" i="22"/>
  <c r="AG85" i="19"/>
  <c r="K15" i="30"/>
  <c r="AG104" i="19"/>
  <c r="AG68" i="19"/>
  <c r="P19" i="5"/>
  <c r="P25" i="5"/>
  <c r="AG106" i="19"/>
  <c r="AL106" i="19"/>
  <c r="AG105" i="19"/>
  <c r="P27" i="5"/>
  <c r="U27" i="5"/>
  <c r="AI42" i="23"/>
  <c r="AG21" i="19"/>
  <c r="AG66" i="19"/>
  <c r="AL66" i="19"/>
  <c r="AG80" i="19"/>
  <c r="AI44" i="23"/>
  <c r="AG95" i="19"/>
  <c r="AG79" i="19"/>
  <c r="AG49" i="19"/>
  <c r="AG70" i="19"/>
  <c r="AE98" i="16"/>
  <c r="AF93" i="23"/>
  <c r="AF94" i="23"/>
  <c r="I26" i="13"/>
  <c r="I27" i="13"/>
  <c r="AC96" i="23"/>
  <c r="AC101" i="23"/>
  <c r="AC103" i="23"/>
  <c r="I32" i="13"/>
  <c r="I33" i="13"/>
  <c r="AD31" i="15"/>
  <c r="AI23" i="23"/>
  <c r="AD25" i="22"/>
  <c r="AD48" i="22"/>
  <c r="AD59" i="22"/>
  <c r="AD50" i="2"/>
  <c r="AI28" i="23"/>
  <c r="AI79" i="23"/>
  <c r="AI86" i="23"/>
  <c r="AI61" i="23"/>
  <c r="AD41" i="2"/>
  <c r="AD28" i="2"/>
  <c r="P26" i="6"/>
  <c r="AD30" i="2"/>
  <c r="AD33" i="2"/>
  <c r="AD29" i="2"/>
  <c r="AD25" i="2"/>
  <c r="AD38" i="2"/>
  <c r="AD36" i="2"/>
  <c r="AD32" i="2"/>
  <c r="AD37" i="2"/>
  <c r="AD24" i="2"/>
  <c r="AD31" i="2"/>
  <c r="AG73" i="19"/>
  <c r="AL73" i="19"/>
  <c r="AE134" i="17"/>
  <c r="AD19" i="2"/>
  <c r="AI96" i="23"/>
  <c r="AD48" i="2"/>
  <c r="AI48" i="2"/>
  <c r="AD26" i="2"/>
  <c r="AG83" i="19"/>
  <c r="AD18" i="2"/>
  <c r="AE91" i="16"/>
  <c r="AJ91" i="16"/>
  <c r="AI33" i="23"/>
  <c r="AI65" i="23"/>
  <c r="AI89" i="23"/>
  <c r="AI101" i="23"/>
  <c r="K140" i="30"/>
  <c r="T101" i="19"/>
  <c r="T108" i="19"/>
  <c r="V101" i="19"/>
  <c r="V108" i="19"/>
  <c r="L39" i="19"/>
  <c r="T39" i="19"/>
  <c r="V39" i="19"/>
  <c r="T36" i="19"/>
  <c r="V36" i="19"/>
  <c r="T29" i="19"/>
  <c r="V29" i="19"/>
  <c r="K59" i="30"/>
  <c r="K65" i="30"/>
  <c r="K95" i="30"/>
  <c r="J32" i="37"/>
  <c r="AJ73" i="25"/>
  <c r="F32" i="15"/>
  <c r="F35" i="15"/>
  <c r="F34" i="15"/>
  <c r="AI63" i="18"/>
  <c r="J42" i="37"/>
  <c r="N50" i="15"/>
  <c r="F33" i="15"/>
  <c r="M60" i="24"/>
  <c r="AJ74" i="25"/>
  <c r="AL74" i="25"/>
  <c r="V41" i="19"/>
  <c r="V87" i="19"/>
  <c r="V111" i="19"/>
  <c r="T41" i="19"/>
  <c r="T87" i="19"/>
  <c r="T111" i="19"/>
  <c r="J44" i="37"/>
  <c r="K119" i="17"/>
  <c r="K128" i="17"/>
  <c r="K47" i="17"/>
  <c r="J24" i="37"/>
  <c r="K26" i="17"/>
  <c r="K30" i="17"/>
  <c r="K40" i="17"/>
  <c r="K101" i="17"/>
  <c r="K55" i="17"/>
  <c r="M23" i="23"/>
  <c r="K26" i="16"/>
  <c r="K30" i="16"/>
  <c r="M28" i="23"/>
  <c r="M79" i="23"/>
  <c r="M86" i="23"/>
  <c r="K137" i="17"/>
  <c r="M61" i="23"/>
  <c r="L36" i="19"/>
  <c r="L83" i="19"/>
  <c r="AD114" i="19"/>
  <c r="K55" i="16"/>
  <c r="M31" i="23"/>
  <c r="H36" i="15"/>
  <c r="L29" i="19"/>
  <c r="M96" i="23"/>
  <c r="V22" i="15"/>
  <c r="L101" i="19"/>
  <c r="L108" i="19"/>
  <c r="C35" i="17"/>
  <c r="K35" i="30"/>
  <c r="K82" i="30"/>
  <c r="K88" i="30"/>
  <c r="K47" i="30"/>
  <c r="K115" i="30"/>
  <c r="M33" i="23"/>
  <c r="M65" i="23"/>
  <c r="M89" i="23"/>
  <c r="M101" i="23"/>
  <c r="K119" i="16"/>
  <c r="K128" i="16"/>
  <c r="K57" i="17"/>
  <c r="K105" i="17"/>
  <c r="K131" i="17"/>
  <c r="K141" i="17"/>
  <c r="K40" i="16"/>
  <c r="K47" i="16"/>
  <c r="K101" i="16"/>
  <c r="L41" i="19"/>
  <c r="L87" i="19"/>
  <c r="L111" i="19"/>
  <c r="AB35" i="17"/>
  <c r="AH35" i="17"/>
  <c r="AJ35" i="17"/>
  <c r="AJ23" i="20"/>
  <c r="AL23" i="20"/>
  <c r="V31" i="15"/>
  <c r="K87" i="30"/>
  <c r="K57" i="16"/>
  <c r="K105" i="16"/>
  <c r="K131" i="16"/>
  <c r="AB35" i="16"/>
  <c r="AD24" i="19"/>
  <c r="AJ24" i="19"/>
  <c r="AL24" i="19"/>
  <c r="J31" i="15"/>
  <c r="AH35" i="16"/>
  <c r="AJ35" i="16"/>
  <c r="C65" i="34"/>
  <c r="Q12" i="34"/>
  <c r="K12" i="34"/>
  <c r="K11" i="34"/>
  <c r="S11" i="34"/>
  <c r="R19" i="35"/>
  <c r="H45" i="35"/>
  <c r="R28" i="35"/>
  <c r="R42" i="35"/>
  <c r="M12" i="34"/>
  <c r="S12" i="34"/>
  <c r="AD11" i="2"/>
  <c r="AE70" i="17"/>
  <c r="AJ70" i="17"/>
  <c r="C70" i="17"/>
  <c r="AB70" i="17"/>
  <c r="AH70" i="17"/>
  <c r="AJ51" i="20"/>
  <c r="AL51" i="20"/>
  <c r="AE70" i="16"/>
  <c r="AJ70" i="16"/>
  <c r="AD52" i="19"/>
  <c r="AJ52" i="19"/>
  <c r="AL52" i="19"/>
  <c r="AB70" i="16"/>
  <c r="AH70" i="16"/>
  <c r="U95" i="24"/>
  <c r="U78" i="24"/>
  <c r="U85" i="24"/>
  <c r="U30" i="24"/>
  <c r="U27" i="24"/>
  <c r="U22" i="24"/>
  <c r="U76" i="25"/>
  <c r="U60" i="25"/>
  <c r="U67" i="25"/>
  <c r="U32" i="24"/>
  <c r="U64" i="24"/>
  <c r="U88" i="24"/>
  <c r="U100" i="24"/>
  <c r="AL50" i="25"/>
  <c r="M191" i="42"/>
  <c r="M197" i="42"/>
  <c r="M190" i="42"/>
  <c r="M193" i="42"/>
  <c r="X13" i="15"/>
  <c r="V13" i="15"/>
  <c r="R13" i="15"/>
  <c r="P13" i="15"/>
  <c r="N13" i="15"/>
  <c r="L13" i="15"/>
  <c r="J13" i="15"/>
  <c r="H13" i="15"/>
  <c r="AD12" i="15"/>
  <c r="X12" i="15"/>
  <c r="R12" i="15"/>
  <c r="N12" i="15"/>
  <c r="J12" i="15"/>
  <c r="M196" i="42"/>
  <c r="AJ55" i="24"/>
  <c r="AL38" i="25"/>
  <c r="AJ38" i="25"/>
  <c r="AL56" i="23"/>
  <c r="AN56" i="23"/>
  <c r="R28" i="20"/>
  <c r="A39" i="12"/>
  <c r="AL73" i="25"/>
  <c r="AL52" i="25"/>
  <c r="AL39" i="25"/>
  <c r="AL37" i="25"/>
  <c r="AL36" i="25"/>
  <c r="AL31" i="25"/>
  <c r="AL32" i="25"/>
  <c r="AL33" i="25"/>
  <c r="AL30" i="25"/>
  <c r="AL24" i="25"/>
  <c r="AL25" i="25"/>
  <c r="AL26" i="25"/>
  <c r="AL27" i="25"/>
  <c r="AL28" i="25"/>
  <c r="AL23" i="25"/>
  <c r="AL21" i="25"/>
  <c r="AL19" i="25"/>
  <c r="AL41" i="24"/>
  <c r="AL24" i="24"/>
  <c r="AN25" i="23"/>
  <c r="AL27" i="21"/>
  <c r="AL28" i="21"/>
  <c r="AL29" i="21"/>
  <c r="AL30" i="21"/>
  <c r="AL26" i="21"/>
  <c r="AL22" i="21"/>
  <c r="AL23" i="21"/>
  <c r="AL24" i="21"/>
  <c r="AE94" i="17"/>
  <c r="P53" i="15"/>
  <c r="N53" i="15"/>
  <c r="H53" i="15"/>
  <c r="V52" i="15"/>
  <c r="V51" i="15"/>
  <c r="V50" i="15"/>
  <c r="V49" i="15"/>
  <c r="V48" i="15"/>
  <c r="V47" i="15"/>
  <c r="P44" i="15"/>
  <c r="N44" i="15"/>
  <c r="H44" i="15"/>
  <c r="V43" i="15"/>
  <c r="V42" i="15"/>
  <c r="V41" i="15"/>
  <c r="V40" i="15"/>
  <c r="V39" i="15"/>
  <c r="P36" i="15"/>
  <c r="V33" i="15"/>
  <c r="V32" i="15"/>
  <c r="V30" i="15"/>
  <c r="V29" i="15"/>
  <c r="V28" i="15"/>
  <c r="V24" i="15"/>
  <c r="R21" i="15"/>
  <c r="R25" i="15"/>
  <c r="P21" i="15"/>
  <c r="P25" i="15"/>
  <c r="N21" i="15"/>
  <c r="N25" i="15"/>
  <c r="J21" i="15"/>
  <c r="H21" i="15"/>
  <c r="H25" i="15"/>
  <c r="V44" i="15"/>
  <c r="H55" i="15"/>
  <c r="P55" i="15"/>
  <c r="N55" i="15"/>
  <c r="V53" i="15"/>
  <c r="AE47" i="26"/>
  <c r="J18" i="6"/>
  <c r="F16" i="15"/>
  <c r="X16" i="15"/>
  <c r="F17" i="15"/>
  <c r="F18" i="15"/>
  <c r="F19" i="15"/>
  <c r="F20" i="15"/>
  <c r="F22" i="15"/>
  <c r="F23" i="15"/>
  <c r="X23" i="15"/>
  <c r="F24" i="15"/>
  <c r="F28" i="15"/>
  <c r="F30" i="15"/>
  <c r="F39" i="15"/>
  <c r="F40" i="15"/>
  <c r="F41" i="15"/>
  <c r="F42" i="15"/>
  <c r="F48" i="15"/>
  <c r="X48" i="15"/>
  <c r="F49" i="15"/>
  <c r="X49" i="15"/>
  <c r="F51" i="15"/>
  <c r="X51" i="15"/>
  <c r="N25" i="28"/>
  <c r="X18" i="15"/>
  <c r="X24" i="15"/>
  <c r="X19" i="15"/>
  <c r="X17" i="15"/>
  <c r="X20" i="15"/>
  <c r="F21" i="15"/>
  <c r="F25" i="15"/>
  <c r="J33" i="28"/>
  <c r="R23" i="35"/>
  <c r="V23" i="35"/>
  <c r="AI129" i="18"/>
  <c r="AK129" i="18"/>
  <c r="K39" i="30"/>
  <c r="K98" i="30"/>
  <c r="Z12" i="43"/>
  <c r="B16" i="43"/>
  <c r="D16" i="43"/>
  <c r="F16" i="43"/>
  <c r="H16" i="43"/>
  <c r="J16" i="43"/>
  <c r="N16" i="43"/>
  <c r="P16" i="43"/>
  <c r="R16" i="43"/>
  <c r="T16" i="43"/>
  <c r="V16" i="43"/>
  <c r="X16" i="43"/>
  <c r="Z40" i="43"/>
  <c r="B40" i="43"/>
  <c r="D40" i="43"/>
  <c r="F40" i="43"/>
  <c r="H40" i="43"/>
  <c r="L40" i="43"/>
  <c r="T40" i="43"/>
  <c r="V40" i="43"/>
  <c r="X40" i="43"/>
  <c r="V42" i="43"/>
  <c r="F42" i="43"/>
  <c r="B42" i="43"/>
  <c r="B44" i="43"/>
  <c r="T42" i="43"/>
  <c r="L42" i="43"/>
  <c r="D42" i="43"/>
  <c r="X42" i="43"/>
  <c r="H42" i="43"/>
  <c r="D44" i="43"/>
  <c r="F44" i="43"/>
  <c r="H44" i="43"/>
  <c r="C154" i="30"/>
  <c r="AL57" i="23"/>
  <c r="M199" i="42"/>
  <c r="AJ56" i="24"/>
  <c r="AJ49" i="21"/>
  <c r="AL49" i="21"/>
  <c r="AD66" i="22"/>
  <c r="AD71" i="22"/>
  <c r="X66" i="22"/>
  <c r="X56" i="22"/>
  <c r="X44" i="22"/>
  <c r="X23" i="22"/>
  <c r="X20" i="22"/>
  <c r="T66" i="22"/>
  <c r="T56" i="22"/>
  <c r="T44" i="22"/>
  <c r="T23" i="22"/>
  <c r="T20" i="22"/>
  <c r="R66" i="22"/>
  <c r="R56" i="22"/>
  <c r="R44" i="22"/>
  <c r="R23" i="22"/>
  <c r="R20" i="22"/>
  <c r="P56" i="22"/>
  <c r="N56" i="22"/>
  <c r="N44" i="22"/>
  <c r="N23" i="22"/>
  <c r="N20" i="22"/>
  <c r="L66" i="22"/>
  <c r="J66" i="22"/>
  <c r="J56" i="22"/>
  <c r="J44" i="22"/>
  <c r="J23" i="22"/>
  <c r="J20" i="22"/>
  <c r="H66" i="22"/>
  <c r="F66" i="22"/>
  <c r="L20" i="2"/>
  <c r="L45" i="2"/>
  <c r="L55" i="2"/>
  <c r="L71" i="22"/>
  <c r="J25" i="22"/>
  <c r="J48" i="22"/>
  <c r="J59" i="22"/>
  <c r="J71" i="22"/>
  <c r="R25" i="22"/>
  <c r="R48" i="22"/>
  <c r="R59" i="22"/>
  <c r="R71" i="22"/>
  <c r="P59" i="22"/>
  <c r="P71" i="22"/>
  <c r="H71" i="22"/>
  <c r="N25" i="22"/>
  <c r="N48" i="22"/>
  <c r="N59" i="22"/>
  <c r="N71" i="22"/>
  <c r="X25" i="22"/>
  <c r="X48" i="22"/>
  <c r="X59" i="22"/>
  <c r="X71" i="22"/>
  <c r="F71" i="22"/>
  <c r="T25" i="22"/>
  <c r="T48" i="22"/>
  <c r="T59" i="22"/>
  <c r="T71" i="22"/>
  <c r="P17" i="29"/>
  <c r="E40" i="7"/>
  <c r="G25" i="14"/>
  <c r="G25" i="13"/>
  <c r="G40" i="7"/>
  <c r="K40" i="7"/>
  <c r="AN42" i="23"/>
  <c r="AJ24" i="25"/>
  <c r="AJ41" i="24"/>
  <c r="AL42" i="23"/>
  <c r="AA44" i="3"/>
  <c r="AF44" i="3"/>
  <c r="AA36" i="3"/>
  <c r="AI87" i="18"/>
  <c r="AK87" i="18"/>
  <c r="AI88" i="18"/>
  <c r="AK88" i="18"/>
  <c r="AE99" i="17"/>
  <c r="AE65" i="17"/>
  <c r="AG43" i="22"/>
  <c r="AI43" i="22"/>
  <c r="AG29" i="22"/>
  <c r="AI29" i="22"/>
  <c r="N40" i="43"/>
  <c r="AE95" i="17"/>
  <c r="AN49" i="23"/>
  <c r="AJ31" i="25"/>
  <c r="AJ48" i="24"/>
  <c r="AL48" i="24"/>
  <c r="AL49" i="23"/>
  <c r="R82" i="20"/>
  <c r="AL25" i="23"/>
  <c r="AG42" i="25"/>
  <c r="AA42" i="25"/>
  <c r="Y42" i="25"/>
  <c r="W42" i="25"/>
  <c r="S42" i="25"/>
  <c r="Q42" i="25"/>
  <c r="O42" i="25"/>
  <c r="M42" i="25"/>
  <c r="AF60" i="23"/>
  <c r="W101" i="16"/>
  <c r="W105" i="16"/>
  <c r="W61" i="23"/>
  <c r="A40" i="14"/>
  <c r="A40" i="13"/>
  <c r="A39" i="13"/>
  <c r="A42" i="11"/>
  <c r="A41" i="11"/>
  <c r="A42" i="10"/>
  <c r="A41" i="10"/>
  <c r="A49" i="9"/>
  <c r="A50" i="9"/>
  <c r="W65" i="23"/>
  <c r="W89" i="23"/>
  <c r="W101" i="23"/>
  <c r="Q31" i="14"/>
  <c r="AL59" i="25"/>
  <c r="Q24" i="14"/>
  <c r="G32" i="14"/>
  <c r="R32" i="11"/>
  <c r="G33" i="11"/>
  <c r="G32" i="11"/>
  <c r="G25" i="11"/>
  <c r="AJ77" i="20"/>
  <c r="AL77" i="20"/>
  <c r="AJ65" i="20"/>
  <c r="G20" i="11"/>
  <c r="AE28" i="16"/>
  <c r="AD23" i="15"/>
  <c r="AH23" i="15"/>
  <c r="AJ23" i="15"/>
  <c r="AE27" i="17"/>
  <c r="AE28" i="17"/>
  <c r="C28" i="17"/>
  <c r="C27" i="17"/>
  <c r="AE125" i="16"/>
  <c r="AE137" i="17"/>
  <c r="AE75" i="17"/>
  <c r="AE74" i="17"/>
  <c r="AE73" i="17"/>
  <c r="AE72" i="17"/>
  <c r="AE71" i="17"/>
  <c r="AE69" i="17"/>
  <c r="C75" i="17"/>
  <c r="C74" i="17"/>
  <c r="C73" i="17"/>
  <c r="C72" i="17"/>
  <c r="C71" i="17"/>
  <c r="C69" i="17"/>
  <c r="AE69" i="16"/>
  <c r="AG36" i="22"/>
  <c r="AI36" i="22"/>
  <c r="AG35" i="22"/>
  <c r="AI35" i="22"/>
  <c r="AG34" i="22"/>
  <c r="AI34" i="22"/>
  <c r="AG33" i="22"/>
  <c r="AI33" i="22"/>
  <c r="AG31" i="22"/>
  <c r="AI31" i="22"/>
  <c r="AE53" i="17"/>
  <c r="AE52" i="17"/>
  <c r="AE53" i="16"/>
  <c r="AE51" i="16"/>
  <c r="AE50" i="16"/>
  <c r="A6" i="10"/>
  <c r="C53" i="17"/>
  <c r="C52" i="17"/>
  <c r="AE99" i="16"/>
  <c r="AE95" i="16"/>
  <c r="AE94" i="16"/>
  <c r="AE73" i="16"/>
  <c r="AE72" i="16"/>
  <c r="AE65" i="16"/>
  <c r="AG28" i="20"/>
  <c r="K20" i="11"/>
  <c r="AD49" i="15"/>
  <c r="AH49" i="15"/>
  <c r="AJ49" i="15"/>
  <c r="AD51" i="15"/>
  <c r="AH51" i="15"/>
  <c r="AJ51" i="15"/>
  <c r="AD48" i="15"/>
  <c r="AH48" i="15"/>
  <c r="AJ48" i="15"/>
  <c r="G31" i="11"/>
  <c r="R31" i="11"/>
  <c r="AL54" i="21"/>
  <c r="R25" i="11"/>
  <c r="G24" i="14"/>
  <c r="G26" i="14"/>
  <c r="G31" i="14"/>
  <c r="AJ93" i="24"/>
  <c r="AL93" i="24"/>
  <c r="Q32" i="14"/>
  <c r="R24" i="11"/>
  <c r="N14" i="2"/>
  <c r="AE71" i="16"/>
  <c r="AE74" i="16"/>
  <c r="AG16" i="22"/>
  <c r="AI16" i="22"/>
  <c r="Q23" i="14"/>
  <c r="G20" i="12"/>
  <c r="AE75" i="16"/>
  <c r="AG32" i="22"/>
  <c r="AI32" i="22"/>
  <c r="G34" i="11"/>
  <c r="AJ31" i="21"/>
  <c r="AL31" i="21"/>
  <c r="G32" i="13"/>
  <c r="G31" i="13"/>
  <c r="G24" i="13"/>
  <c r="O40" i="14"/>
  <c r="Q39" i="14"/>
  <c r="AD14" i="25"/>
  <c r="AD14" i="24"/>
  <c r="AD102" i="24"/>
  <c r="E15" i="23"/>
  <c r="G39" i="13"/>
  <c r="K39" i="13"/>
  <c r="C39" i="14"/>
  <c r="G39" i="14"/>
  <c r="D57" i="2"/>
  <c r="C49" i="9"/>
  <c r="E50" i="9"/>
  <c r="AC14" i="18"/>
  <c r="AC140" i="18"/>
  <c r="F57" i="2"/>
  <c r="F59" i="3"/>
  <c r="A6" i="13"/>
  <c r="J28" i="5"/>
  <c r="J19" i="5"/>
  <c r="H14" i="5"/>
  <c r="P14" i="5"/>
  <c r="L14" i="5"/>
  <c r="F15" i="5"/>
  <c r="H15" i="5"/>
  <c r="J15" i="5"/>
  <c r="L15" i="5"/>
  <c r="J20" i="5"/>
  <c r="P21" i="5"/>
  <c r="P29" i="5"/>
  <c r="P37" i="5"/>
  <c r="R57" i="2"/>
  <c r="AF15" i="23"/>
  <c r="P57" i="2"/>
  <c r="C39" i="13"/>
  <c r="M39" i="13"/>
  <c r="AD82" i="25"/>
  <c r="AJ14" i="25"/>
  <c r="AL14" i="25"/>
  <c r="P32" i="5"/>
  <c r="P42" i="5"/>
  <c r="J27" i="5"/>
  <c r="J26" i="5"/>
  <c r="J36" i="5"/>
  <c r="J35" i="5"/>
  <c r="J25" i="5"/>
  <c r="L86" i="21"/>
  <c r="L70" i="21"/>
  <c r="L77" i="21"/>
  <c r="L52" i="21"/>
  <c r="L56" i="21"/>
  <c r="L117" i="19"/>
  <c r="N45" i="35"/>
  <c r="R25" i="35"/>
  <c r="V25" i="35"/>
  <c r="R18" i="35"/>
  <c r="V18" i="35"/>
  <c r="R36" i="35"/>
  <c r="R17" i="35"/>
  <c r="R43" i="35"/>
  <c r="R32" i="35"/>
  <c r="R30" i="35"/>
  <c r="G186" i="42"/>
  <c r="I186" i="42"/>
  <c r="R21" i="35"/>
  <c r="V21" i="35"/>
  <c r="D45" i="35"/>
  <c r="R39" i="35"/>
  <c r="V39" i="35"/>
  <c r="R31" i="35"/>
  <c r="R22" i="35"/>
  <c r="G11" i="42"/>
  <c r="K186" i="42"/>
  <c r="R41" i="35"/>
  <c r="F45" i="35"/>
  <c r="R15" i="35"/>
  <c r="V15" i="35"/>
  <c r="R35" i="35"/>
  <c r="R37" i="35"/>
  <c r="P45" i="35"/>
  <c r="L45" i="35"/>
  <c r="R20" i="35"/>
  <c r="R24" i="35"/>
  <c r="V24" i="35"/>
  <c r="I11" i="42"/>
  <c r="R34" i="35"/>
  <c r="J45" i="35"/>
  <c r="R26" i="35"/>
  <c r="K11" i="42"/>
  <c r="R38" i="35"/>
  <c r="J37" i="5"/>
  <c r="J29" i="5"/>
  <c r="L80" i="21"/>
  <c r="L90" i="21"/>
  <c r="R45" i="35"/>
  <c r="L121" i="19"/>
  <c r="AE136" i="16"/>
  <c r="Z38" i="20"/>
  <c r="X38" i="20"/>
  <c r="V38" i="20"/>
  <c r="T38" i="20"/>
  <c r="R38" i="20"/>
  <c r="P38" i="20"/>
  <c r="L38" i="20"/>
  <c r="Z35" i="20"/>
  <c r="X35" i="20"/>
  <c r="V35" i="20"/>
  <c r="T35" i="20"/>
  <c r="R35" i="20"/>
  <c r="P35" i="20"/>
  <c r="L35" i="20"/>
  <c r="Z28" i="20"/>
  <c r="X28" i="20"/>
  <c r="V28" i="20"/>
  <c r="T28" i="20"/>
  <c r="L28" i="20"/>
  <c r="AG35" i="20"/>
  <c r="AG38" i="20"/>
  <c r="Z40" i="20"/>
  <c r="Z86" i="20"/>
  <c r="Z110" i="20"/>
  <c r="X40" i="20"/>
  <c r="V40" i="20"/>
  <c r="T40" i="20"/>
  <c r="R40" i="20"/>
  <c r="P40" i="20"/>
  <c r="P86" i="20"/>
  <c r="L40" i="20"/>
  <c r="AG40" i="20"/>
  <c r="Z24" i="37"/>
  <c r="Z42" i="37"/>
  <c r="Z44" i="37"/>
  <c r="K150" i="30"/>
  <c r="K121" i="30"/>
  <c r="C62" i="17"/>
  <c r="AE100" i="17"/>
  <c r="AE97" i="17"/>
  <c r="AE96" i="17"/>
  <c r="AE93" i="17"/>
  <c r="AE92" i="17"/>
  <c r="AE90" i="17"/>
  <c r="AE88" i="17"/>
  <c r="AE87" i="17"/>
  <c r="AE86" i="17"/>
  <c r="AE85" i="17"/>
  <c r="AE84" i="17"/>
  <c r="AJ84" i="17"/>
  <c r="AE83" i="17"/>
  <c r="AE81" i="17"/>
  <c r="AE80" i="17"/>
  <c r="AE79" i="17"/>
  <c r="AE78" i="17"/>
  <c r="AE76" i="17"/>
  <c r="AE67" i="17"/>
  <c r="AE66" i="17"/>
  <c r="AE64" i="17"/>
  <c r="AE62" i="17"/>
  <c r="C100" i="17"/>
  <c r="C97" i="17"/>
  <c r="C96" i="17"/>
  <c r="C93" i="17"/>
  <c r="C92" i="17"/>
  <c r="C91" i="17"/>
  <c r="C85" i="17"/>
  <c r="C84" i="17"/>
  <c r="C83" i="17"/>
  <c r="C80" i="17"/>
  <c r="C79" i="17"/>
  <c r="C78" i="17"/>
  <c r="C76" i="17"/>
  <c r="C65" i="17"/>
  <c r="C64" i="17"/>
  <c r="AE33" i="17"/>
  <c r="AE38" i="17"/>
  <c r="AE36" i="17"/>
  <c r="AE46" i="17"/>
  <c r="AE43" i="17"/>
  <c r="AE126" i="17"/>
  <c r="AJ126" i="17"/>
  <c r="AE125" i="17"/>
  <c r="AE122" i="17"/>
  <c r="AE123" i="17"/>
  <c r="AE121" i="17"/>
  <c r="AE118" i="17"/>
  <c r="AE117" i="17"/>
  <c r="AE116" i="17"/>
  <c r="AE115" i="17"/>
  <c r="AE114" i="17"/>
  <c r="AE113" i="17"/>
  <c r="AE111" i="17"/>
  <c r="AE110" i="17"/>
  <c r="AE109" i="17"/>
  <c r="C46" i="17"/>
  <c r="C43" i="17"/>
  <c r="C33" i="17"/>
  <c r="C36" i="17"/>
  <c r="C38" i="17"/>
  <c r="S39" i="14"/>
  <c r="I39" i="14"/>
  <c r="AE62" i="16"/>
  <c r="AE61" i="16"/>
  <c r="AE61" i="17"/>
  <c r="AE119" i="17"/>
  <c r="AE128" i="17"/>
  <c r="C61" i="17"/>
  <c r="K92" i="30"/>
  <c r="E39" i="12"/>
  <c r="E31" i="7"/>
  <c r="E30" i="7"/>
  <c r="G24" i="11"/>
  <c r="E42" i="7"/>
  <c r="E41" i="7"/>
  <c r="E33" i="7"/>
  <c r="E32" i="7"/>
  <c r="E29" i="7"/>
  <c r="E24" i="7"/>
  <c r="E25" i="7"/>
  <c r="E23" i="7"/>
  <c r="E22" i="7"/>
  <c r="E21" i="7"/>
  <c r="E20" i="7"/>
  <c r="E26" i="7"/>
  <c r="E40" i="13"/>
  <c r="K46" i="30"/>
  <c r="P40" i="43"/>
  <c r="P42" i="43"/>
  <c r="AF52" i="18"/>
  <c r="X52" i="18"/>
  <c r="T52" i="18"/>
  <c r="R52" i="18"/>
  <c r="AF44" i="18"/>
  <c r="X44" i="18"/>
  <c r="T44" i="18"/>
  <c r="AG30" i="24"/>
  <c r="AA30" i="24"/>
  <c r="W30" i="24"/>
  <c r="S30" i="24"/>
  <c r="M30" i="24"/>
  <c r="AG22" i="24"/>
  <c r="AA22" i="24"/>
  <c r="W22" i="24"/>
  <c r="S22" i="24"/>
  <c r="M22" i="24"/>
  <c r="AG27" i="24"/>
  <c r="AA27" i="24"/>
  <c r="W27" i="24"/>
  <c r="S27" i="24"/>
  <c r="Q27" i="24"/>
  <c r="M27" i="24"/>
  <c r="AE49" i="16"/>
  <c r="AD47" i="15"/>
  <c r="AE52" i="16"/>
  <c r="AE29" i="16"/>
  <c r="AE25" i="16"/>
  <c r="AE24" i="16"/>
  <c r="AE23" i="16"/>
  <c r="AE22" i="16"/>
  <c r="AE54" i="17"/>
  <c r="AE51" i="17"/>
  <c r="AE50" i="17"/>
  <c r="AE49" i="17"/>
  <c r="AE45" i="17"/>
  <c r="AE44" i="17"/>
  <c r="AE42" i="17"/>
  <c r="AE39" i="17"/>
  <c r="AE37" i="17"/>
  <c r="AE34" i="17"/>
  <c r="AE32" i="17"/>
  <c r="AE29" i="17"/>
  <c r="AE25" i="17"/>
  <c r="AE24" i="17"/>
  <c r="AE23" i="17"/>
  <c r="AE22" i="17"/>
  <c r="AJ25" i="24"/>
  <c r="AL25" i="24"/>
  <c r="AJ24" i="24"/>
  <c r="C39" i="17"/>
  <c r="C54" i="17"/>
  <c r="C51" i="17"/>
  <c r="C50" i="17"/>
  <c r="C49" i="17"/>
  <c r="C45" i="17"/>
  <c r="C44" i="17"/>
  <c r="C42" i="17"/>
  <c r="C37" i="17"/>
  <c r="C34" i="17"/>
  <c r="C32" i="17"/>
  <c r="C25" i="17"/>
  <c r="C29" i="17"/>
  <c r="C24" i="17"/>
  <c r="C23" i="17"/>
  <c r="C22" i="17"/>
  <c r="AD17" i="15"/>
  <c r="AD24" i="15"/>
  <c r="AH24" i="15"/>
  <c r="AJ24" i="15"/>
  <c r="AD18" i="15"/>
  <c r="AH18" i="15"/>
  <c r="AJ18" i="15"/>
  <c r="AD50" i="15"/>
  <c r="AD19" i="15"/>
  <c r="AH19" i="15"/>
  <c r="AJ19" i="15"/>
  <c r="AD20" i="15"/>
  <c r="AH20" i="15"/>
  <c r="AJ20" i="15"/>
  <c r="G22" i="14"/>
  <c r="AE55" i="17"/>
  <c r="AE47" i="17"/>
  <c r="AG32" i="24"/>
  <c r="G47" i="17"/>
  <c r="C47" i="17"/>
  <c r="E47" i="17"/>
  <c r="Q32" i="24"/>
  <c r="Q64" i="24"/>
  <c r="S32" i="24"/>
  <c r="S64" i="24"/>
  <c r="AA32" i="24"/>
  <c r="AA64" i="24"/>
  <c r="AJ29" i="24"/>
  <c r="AL29" i="24"/>
  <c r="M32" i="24"/>
  <c r="M64" i="24"/>
  <c r="W32" i="24"/>
  <c r="W64" i="24"/>
  <c r="AE40" i="17"/>
  <c r="E26" i="17"/>
  <c r="E30" i="17"/>
  <c r="G26" i="17"/>
  <c r="G30" i="17"/>
  <c r="E40" i="17"/>
  <c r="G40" i="17"/>
  <c r="C40" i="17"/>
  <c r="C26" i="17"/>
  <c r="C30" i="17"/>
  <c r="AH17" i="15"/>
  <c r="AJ17" i="15"/>
  <c r="G22" i="13"/>
  <c r="K22" i="13"/>
  <c r="AJ30" i="24"/>
  <c r="AL30" i="24"/>
  <c r="R40" i="15"/>
  <c r="R50" i="15"/>
  <c r="R53" i="15"/>
  <c r="AA20" i="3"/>
  <c r="AG22" i="22"/>
  <c r="AI22" i="22"/>
  <c r="AG19" i="22"/>
  <c r="AI19" i="22"/>
  <c r="AB28" i="16"/>
  <c r="AH28" i="16"/>
  <c r="AJ28" i="16"/>
  <c r="G26" i="16"/>
  <c r="E26" i="16"/>
  <c r="C26" i="16"/>
  <c r="C30" i="16"/>
  <c r="AJ41" i="25"/>
  <c r="AL41" i="25"/>
  <c r="AJ40" i="25"/>
  <c r="AL40" i="25"/>
  <c r="AJ39" i="25"/>
  <c r="AJ37" i="25"/>
  <c r="AJ36" i="25"/>
  <c r="AJ34" i="25"/>
  <c r="AJ33" i="25"/>
  <c r="AJ30" i="25"/>
  <c r="AJ28" i="25"/>
  <c r="AJ27" i="25"/>
  <c r="AJ26" i="25"/>
  <c r="AJ25" i="25"/>
  <c r="AJ23" i="25"/>
  <c r="AJ21" i="25"/>
  <c r="AJ58" i="24"/>
  <c r="AL58" i="24"/>
  <c r="AJ57" i="24"/>
  <c r="AL57" i="24"/>
  <c r="AJ54" i="24"/>
  <c r="AL54" i="24"/>
  <c r="AJ53" i="24"/>
  <c r="AL53" i="24"/>
  <c r="AJ51" i="24"/>
  <c r="AL51" i="24"/>
  <c r="AJ49" i="24"/>
  <c r="AL49" i="24"/>
  <c r="AJ45" i="24"/>
  <c r="AL45" i="24"/>
  <c r="AJ44" i="24"/>
  <c r="AL44" i="24"/>
  <c r="AJ42" i="24"/>
  <c r="AL42" i="24"/>
  <c r="AE103" i="16"/>
  <c r="AE90" i="16"/>
  <c r="AE67" i="16"/>
  <c r="G55" i="17"/>
  <c r="G57" i="17"/>
  <c r="E55" i="17"/>
  <c r="E57" i="17"/>
  <c r="C46" i="16"/>
  <c r="C45" i="16"/>
  <c r="C44" i="16"/>
  <c r="C43" i="16"/>
  <c r="C42" i="16"/>
  <c r="AG116" i="20"/>
  <c r="AJ37" i="20"/>
  <c r="AL37" i="20"/>
  <c r="AJ34" i="20"/>
  <c r="AL34" i="20"/>
  <c r="AJ33" i="20"/>
  <c r="AL33" i="20"/>
  <c r="AJ32" i="20"/>
  <c r="AL32" i="20"/>
  <c r="AJ31" i="20"/>
  <c r="AL31" i="20"/>
  <c r="AA19" i="3"/>
  <c r="AJ27" i="20"/>
  <c r="AL27" i="20"/>
  <c r="AJ26" i="20"/>
  <c r="AL26" i="20"/>
  <c r="AJ25" i="20"/>
  <c r="AL25" i="20"/>
  <c r="AJ24" i="20"/>
  <c r="AL24" i="20"/>
  <c r="AJ22" i="20"/>
  <c r="AL22" i="20"/>
  <c r="AJ21" i="20"/>
  <c r="AL21" i="20"/>
  <c r="C88" i="17"/>
  <c r="C87" i="17"/>
  <c r="C81" i="17"/>
  <c r="E21" i="8"/>
  <c r="AL27" i="23"/>
  <c r="AN27" i="23"/>
  <c r="R43" i="15"/>
  <c r="R44" i="15"/>
  <c r="AL21" i="23"/>
  <c r="AN21" i="23"/>
  <c r="R32" i="15"/>
  <c r="AL22" i="23"/>
  <c r="AN22" i="23"/>
  <c r="R34" i="15"/>
  <c r="C55" i="16"/>
  <c r="B71" i="22"/>
  <c r="E30" i="16"/>
  <c r="AJ42" i="25"/>
  <c r="AL42" i="25"/>
  <c r="G30" i="16"/>
  <c r="AB27" i="16"/>
  <c r="AE27" i="16"/>
  <c r="AD22" i="15"/>
  <c r="C47" i="16"/>
  <c r="G40" i="16"/>
  <c r="AL30" i="23"/>
  <c r="AN30" i="23"/>
  <c r="AF31" i="23"/>
  <c r="G47" i="16"/>
  <c r="C40" i="16"/>
  <c r="E40" i="16"/>
  <c r="E47" i="16"/>
  <c r="E55" i="16"/>
  <c r="G55" i="16"/>
  <c r="AE66" i="16"/>
  <c r="AE78" i="16"/>
  <c r="AE87" i="16"/>
  <c r="AE92" i="16"/>
  <c r="AE100" i="16"/>
  <c r="AE39" i="16"/>
  <c r="AE45" i="16"/>
  <c r="AJ30" i="20"/>
  <c r="AE76" i="16"/>
  <c r="AE81" i="16"/>
  <c r="AE33" i="16"/>
  <c r="AE38" i="16"/>
  <c r="AE44" i="16"/>
  <c r="AE54" i="16"/>
  <c r="AE64" i="16"/>
  <c r="AE80" i="16"/>
  <c r="AE85" i="16"/>
  <c r="AE32" i="16"/>
  <c r="AE37" i="16"/>
  <c r="AE43" i="16"/>
  <c r="AE96" i="16"/>
  <c r="AE34" i="16"/>
  <c r="AE86" i="16"/>
  <c r="AE79" i="16"/>
  <c r="AE84" i="16"/>
  <c r="AJ84" i="16"/>
  <c r="AE88" i="16"/>
  <c r="AE97" i="16"/>
  <c r="AE36" i="16"/>
  <c r="AE46" i="16"/>
  <c r="AE83" i="16"/>
  <c r="AJ83" i="16"/>
  <c r="AD26" i="19"/>
  <c r="C55" i="17"/>
  <c r="C57" i="17"/>
  <c r="AD28" i="19"/>
  <c r="AD25" i="19"/>
  <c r="AD35" i="19"/>
  <c r="AD27" i="19"/>
  <c r="AD23" i="19"/>
  <c r="AD34" i="19"/>
  <c r="AG36" i="19"/>
  <c r="AD16" i="2"/>
  <c r="AE42" i="16"/>
  <c r="AD33" i="19"/>
  <c r="AG117" i="19"/>
  <c r="AD31" i="19"/>
  <c r="AG39" i="19"/>
  <c r="AD17" i="2"/>
  <c r="AG101" i="19"/>
  <c r="AG108" i="19"/>
  <c r="AD32" i="19"/>
  <c r="AG29" i="19"/>
  <c r="AF28" i="23"/>
  <c r="AL26" i="23"/>
  <c r="AN26" i="23"/>
  <c r="AJ59" i="24"/>
  <c r="AL59" i="24"/>
  <c r="AJ43" i="24"/>
  <c r="AL43" i="24"/>
  <c r="AJ47" i="24"/>
  <c r="AJ50" i="24"/>
  <c r="AL50" i="24"/>
  <c r="AJ40" i="24"/>
  <c r="AL40" i="24"/>
  <c r="AJ36" i="24"/>
  <c r="AL36" i="24"/>
  <c r="AJ38" i="24"/>
  <c r="AL38" i="24"/>
  <c r="AJ17" i="20"/>
  <c r="AJ20" i="20"/>
  <c r="J22" i="15"/>
  <c r="J17" i="3"/>
  <c r="AI50" i="18"/>
  <c r="AK50" i="18"/>
  <c r="AI48" i="18"/>
  <c r="AK48" i="18"/>
  <c r="AI47" i="18"/>
  <c r="AK47" i="18"/>
  <c r="F47" i="15"/>
  <c r="AI42" i="18"/>
  <c r="AK42" i="18"/>
  <c r="AI41" i="18"/>
  <c r="AK41" i="18"/>
  <c r="AI40" i="18"/>
  <c r="AK40" i="18"/>
  <c r="AI39" i="18"/>
  <c r="AK39" i="18"/>
  <c r="AI34" i="18"/>
  <c r="AK34" i="18"/>
  <c r="AI32" i="18"/>
  <c r="AK32" i="18"/>
  <c r="AI30" i="18"/>
  <c r="AK30" i="18"/>
  <c r="AI25" i="18"/>
  <c r="AI23" i="18"/>
  <c r="AK23" i="18"/>
  <c r="AI22" i="18"/>
  <c r="AK22" i="18"/>
  <c r="AI21" i="18"/>
  <c r="AK21" i="18"/>
  <c r="AI20" i="18"/>
  <c r="AK20" i="18"/>
  <c r="AF37" i="18"/>
  <c r="X37" i="18"/>
  <c r="T37" i="18"/>
  <c r="R37" i="18"/>
  <c r="X24" i="18"/>
  <c r="X28" i="18"/>
  <c r="AA15" i="3"/>
  <c r="Y15" i="3"/>
  <c r="F15" i="3"/>
  <c r="F14" i="3"/>
  <c r="D15" i="3"/>
  <c r="AB100" i="17"/>
  <c r="AE101" i="17"/>
  <c r="AG52" i="21"/>
  <c r="Z52" i="21"/>
  <c r="Z56" i="21"/>
  <c r="X52" i="21"/>
  <c r="V52" i="21"/>
  <c r="V56" i="21"/>
  <c r="T52" i="21"/>
  <c r="T56" i="21"/>
  <c r="R56" i="21"/>
  <c r="P56" i="21"/>
  <c r="AG82" i="20"/>
  <c r="AA21" i="3"/>
  <c r="X82" i="20"/>
  <c r="V82" i="20"/>
  <c r="T82" i="20"/>
  <c r="L82" i="20"/>
  <c r="AA46" i="25"/>
  <c r="Y46" i="25"/>
  <c r="W46" i="25"/>
  <c r="S46" i="25"/>
  <c r="Q46" i="25"/>
  <c r="O46" i="25"/>
  <c r="M46" i="25"/>
  <c r="AG60" i="24"/>
  <c r="K83" i="30"/>
  <c r="X86" i="20"/>
  <c r="AD39" i="15"/>
  <c r="AD43" i="15"/>
  <c r="AD40" i="15"/>
  <c r="AD41" i="15"/>
  <c r="AD42" i="15"/>
  <c r="AD52" i="15"/>
  <c r="AD53" i="15"/>
  <c r="AD32" i="15"/>
  <c r="AD33" i="15"/>
  <c r="AD34" i="15"/>
  <c r="AD35" i="15"/>
  <c r="AD30" i="15"/>
  <c r="AD28" i="15"/>
  <c r="AD29" i="15"/>
  <c r="J25" i="15"/>
  <c r="X22" i="15"/>
  <c r="AA18" i="3"/>
  <c r="AD15" i="2"/>
  <c r="AJ34" i="19"/>
  <c r="AL34" i="19"/>
  <c r="J42" i="15"/>
  <c r="X42" i="15"/>
  <c r="AJ35" i="19"/>
  <c r="AL35" i="19"/>
  <c r="J43" i="15"/>
  <c r="AJ31" i="19"/>
  <c r="AL31" i="19"/>
  <c r="J39" i="15"/>
  <c r="AJ32" i="19"/>
  <c r="AL32" i="19"/>
  <c r="J40" i="15"/>
  <c r="X40" i="15"/>
  <c r="AJ33" i="19"/>
  <c r="AL33" i="19"/>
  <c r="J41" i="15"/>
  <c r="X41" i="15"/>
  <c r="AJ28" i="19"/>
  <c r="AL28" i="19"/>
  <c r="J35" i="15"/>
  <c r="AJ27" i="19"/>
  <c r="AL27" i="19"/>
  <c r="J34" i="15"/>
  <c r="AJ26" i="19"/>
  <c r="AL26" i="19"/>
  <c r="J33" i="15"/>
  <c r="AJ25" i="19"/>
  <c r="AL25" i="19"/>
  <c r="J32" i="15"/>
  <c r="X32" i="15"/>
  <c r="AJ23" i="19"/>
  <c r="AL23" i="19"/>
  <c r="J30" i="15"/>
  <c r="X30" i="15"/>
  <c r="AJ22" i="19"/>
  <c r="AL22" i="19"/>
  <c r="J29" i="15"/>
  <c r="AJ21" i="19"/>
  <c r="AL21" i="19"/>
  <c r="J28" i="15"/>
  <c r="AJ38" i="19"/>
  <c r="AL38" i="19"/>
  <c r="J52" i="15"/>
  <c r="J53" i="15"/>
  <c r="AI51" i="18"/>
  <c r="AK51" i="18"/>
  <c r="F52" i="15"/>
  <c r="X47" i="15"/>
  <c r="AI31" i="18"/>
  <c r="AK31" i="18"/>
  <c r="AI35" i="18"/>
  <c r="AK35" i="18"/>
  <c r="AI36" i="18"/>
  <c r="AK36" i="18"/>
  <c r="AI33" i="18"/>
  <c r="X31" i="15"/>
  <c r="AH31" i="15"/>
  <c r="AJ31" i="15"/>
  <c r="AI43" i="18"/>
  <c r="F43" i="15"/>
  <c r="AI49" i="18"/>
  <c r="AK49" i="18"/>
  <c r="F50" i="15"/>
  <c r="X50" i="15"/>
  <c r="AH50" i="15"/>
  <c r="AJ50" i="15"/>
  <c r="J20" i="3"/>
  <c r="G23" i="11"/>
  <c r="J19" i="3"/>
  <c r="G22" i="11"/>
  <c r="J18" i="3"/>
  <c r="G21" i="11"/>
  <c r="G23" i="14"/>
  <c r="AJ35" i="20"/>
  <c r="AL35" i="20"/>
  <c r="AL30" i="20"/>
  <c r="AJ28" i="20"/>
  <c r="AL28" i="20"/>
  <c r="AL20" i="20"/>
  <c r="AG56" i="21"/>
  <c r="AL52" i="21"/>
  <c r="AG41" i="19"/>
  <c r="AG87" i="19"/>
  <c r="AG111" i="19"/>
  <c r="AG121" i="19"/>
  <c r="G20" i="10"/>
  <c r="K20" i="10"/>
  <c r="X56" i="21"/>
  <c r="AI27" i="18"/>
  <c r="AK27" i="18"/>
  <c r="AH27" i="16"/>
  <c r="AJ27" i="16"/>
  <c r="C57" i="16"/>
  <c r="AI26" i="18"/>
  <c r="AK26" i="18"/>
  <c r="L86" i="20"/>
  <c r="E57" i="16"/>
  <c r="G57" i="16"/>
  <c r="AE47" i="16"/>
  <c r="AE55" i="16"/>
  <c r="AE40" i="16"/>
  <c r="AJ38" i="20"/>
  <c r="V86" i="20"/>
  <c r="AG46" i="25"/>
  <c r="R54" i="18"/>
  <c r="R96" i="18"/>
  <c r="X54" i="18"/>
  <c r="X96" i="18"/>
  <c r="AI46" i="18"/>
  <c r="AK46" i="18"/>
  <c r="G23" i="9"/>
  <c r="G22" i="9"/>
  <c r="T86" i="20"/>
  <c r="AG23" i="22"/>
  <c r="AI23" i="22"/>
  <c r="G22" i="12"/>
  <c r="N17" i="2"/>
  <c r="AG20" i="22"/>
  <c r="AI20" i="22"/>
  <c r="G21" i="12"/>
  <c r="N15" i="2"/>
  <c r="AG86" i="20"/>
  <c r="AD36" i="19"/>
  <c r="J16" i="2"/>
  <c r="R86" i="20"/>
  <c r="AL31" i="23"/>
  <c r="AN31" i="23"/>
  <c r="R17" i="2"/>
  <c r="R16" i="2"/>
  <c r="AG64" i="24"/>
  <c r="AL28" i="23"/>
  <c r="AN28" i="23"/>
  <c r="AE101" i="16"/>
  <c r="AJ60" i="24"/>
  <c r="AL60" i="24"/>
  <c r="J14" i="2"/>
  <c r="AJ18" i="19"/>
  <c r="AD39" i="19"/>
  <c r="J17" i="2"/>
  <c r="AD29" i="19"/>
  <c r="J15" i="2"/>
  <c r="AB78" i="17"/>
  <c r="G101" i="17"/>
  <c r="AB80" i="17"/>
  <c r="AB94" i="17"/>
  <c r="AB79" i="17"/>
  <c r="E101" i="17"/>
  <c r="AA43" i="3"/>
  <c r="AA41" i="3"/>
  <c r="AA40" i="3"/>
  <c r="AA39" i="3"/>
  <c r="AA35" i="3"/>
  <c r="AA34" i="3"/>
  <c r="AA33" i="3"/>
  <c r="AA32" i="3"/>
  <c r="P42" i="11"/>
  <c r="O20" i="10"/>
  <c r="K23" i="11"/>
  <c r="AD36" i="15"/>
  <c r="AH30" i="15"/>
  <c r="AJ30" i="15"/>
  <c r="AH40" i="15"/>
  <c r="AJ40" i="15"/>
  <c r="AH32" i="15"/>
  <c r="AJ32" i="15"/>
  <c r="AH42" i="15"/>
  <c r="AJ42" i="15"/>
  <c r="AH41" i="15"/>
  <c r="AJ41" i="15"/>
  <c r="AD44" i="15"/>
  <c r="G23" i="13"/>
  <c r="AH22" i="15"/>
  <c r="AJ22" i="15"/>
  <c r="X25" i="15"/>
  <c r="AI44" i="18"/>
  <c r="AJ36" i="19"/>
  <c r="AL36" i="19"/>
  <c r="J44" i="15"/>
  <c r="X39" i="15"/>
  <c r="AH39" i="15"/>
  <c r="AJ39" i="15"/>
  <c r="AJ39" i="19"/>
  <c r="AL39" i="19"/>
  <c r="X33" i="15"/>
  <c r="AH33" i="15"/>
  <c r="AJ33" i="15"/>
  <c r="X34" i="15"/>
  <c r="AH34" i="15"/>
  <c r="AJ34" i="15"/>
  <c r="AJ29" i="19"/>
  <c r="AL29" i="19"/>
  <c r="J36" i="15"/>
  <c r="X28" i="15"/>
  <c r="AH28" i="15"/>
  <c r="AJ28" i="15"/>
  <c r="AI37" i="18"/>
  <c r="X52" i="15"/>
  <c r="AH52" i="15"/>
  <c r="AJ52" i="15"/>
  <c r="AH47" i="15"/>
  <c r="AJ47" i="15"/>
  <c r="X43" i="15"/>
  <c r="F44" i="15"/>
  <c r="V35" i="15"/>
  <c r="V36" i="15"/>
  <c r="G21" i="9"/>
  <c r="X35" i="15"/>
  <c r="AH35" i="15"/>
  <c r="AJ35" i="15"/>
  <c r="F53" i="15"/>
  <c r="AJ40" i="20"/>
  <c r="AL40" i="20"/>
  <c r="AL38" i="20"/>
  <c r="G23" i="10"/>
  <c r="K23" i="10"/>
  <c r="G22" i="10"/>
  <c r="K22" i="10"/>
  <c r="G20" i="9"/>
  <c r="AG25" i="22"/>
  <c r="AI25" i="22"/>
  <c r="AI52" i="18"/>
  <c r="G21" i="10"/>
  <c r="K21" i="10"/>
  <c r="AD41" i="19"/>
  <c r="G105" i="17"/>
  <c r="E105" i="17"/>
  <c r="T45" i="35"/>
  <c r="N21" i="5"/>
  <c r="N29" i="5"/>
  <c r="AB44" i="15"/>
  <c r="N35" i="11"/>
  <c r="K67" i="30"/>
  <c r="K58" i="30"/>
  <c r="K20" i="31"/>
  <c r="K18" i="31"/>
  <c r="T22" i="11"/>
  <c r="AJ14" i="24"/>
  <c r="AL14" i="24"/>
  <c r="AI15" i="23"/>
  <c r="K66" i="30"/>
  <c r="L30" i="32"/>
  <c r="K17" i="30"/>
  <c r="K30" i="30"/>
  <c r="M14" i="42"/>
  <c r="K56" i="30"/>
  <c r="K130" i="30"/>
  <c r="K45" i="30"/>
  <c r="K145" i="30"/>
  <c r="K148" i="30"/>
  <c r="K141" i="30"/>
  <c r="V22" i="35"/>
  <c r="S23" i="14"/>
  <c r="K123" i="30"/>
  <c r="K125" i="30"/>
  <c r="K129" i="30"/>
  <c r="L43" i="32"/>
  <c r="C31" i="13"/>
  <c r="K153" i="30"/>
  <c r="I40" i="9"/>
  <c r="K147" i="30"/>
  <c r="K146" i="30"/>
  <c r="V36" i="35"/>
  <c r="V38" i="35"/>
  <c r="V30" i="35"/>
  <c r="K21" i="31"/>
  <c r="K116" i="30"/>
  <c r="I154" i="30"/>
  <c r="K69" i="30"/>
  <c r="L39" i="32"/>
  <c r="V17" i="35"/>
  <c r="V26" i="35"/>
  <c r="C20" i="13"/>
  <c r="C27" i="14"/>
  <c r="AD13" i="21"/>
  <c r="AJ13" i="21"/>
  <c r="AL13" i="21"/>
  <c r="R41" i="11"/>
  <c r="K126" i="30"/>
  <c r="K64" i="30"/>
  <c r="K76" i="30"/>
  <c r="K32" i="30"/>
  <c r="K142" i="30"/>
  <c r="K52" i="30"/>
  <c r="K134" i="30"/>
  <c r="O11" i="42"/>
  <c r="M10" i="42"/>
  <c r="M11" i="42"/>
  <c r="K108" i="30"/>
  <c r="C21" i="13"/>
  <c r="K144" i="30"/>
  <c r="V28" i="35"/>
  <c r="L35" i="32"/>
  <c r="P44" i="5"/>
  <c r="K73" i="30"/>
  <c r="K44" i="30"/>
  <c r="L21" i="32"/>
  <c r="G99" i="30"/>
  <c r="K96" i="30"/>
  <c r="K35" i="31"/>
  <c r="F45" i="32"/>
  <c r="L28" i="32"/>
  <c r="K36" i="30"/>
  <c r="L37" i="32"/>
  <c r="G154" i="30"/>
  <c r="K118" i="30"/>
  <c r="T31" i="11"/>
  <c r="B44" i="5"/>
  <c r="T23" i="11"/>
  <c r="K21" i="30"/>
  <c r="V37" i="35"/>
  <c r="V32" i="35"/>
  <c r="K124" i="30"/>
  <c r="K31" i="30"/>
  <c r="C40" i="7"/>
  <c r="I40" i="7"/>
  <c r="C25" i="13"/>
  <c r="K79" i="30"/>
  <c r="K37" i="30"/>
  <c r="C31" i="10"/>
  <c r="C30" i="7"/>
  <c r="I31" i="11"/>
  <c r="C24" i="13"/>
  <c r="C30" i="10"/>
  <c r="C35" i="11"/>
  <c r="K40" i="30"/>
  <c r="AG14" i="19"/>
  <c r="AG123" i="19"/>
  <c r="V20" i="35"/>
  <c r="M15" i="42"/>
  <c r="C26" i="10"/>
  <c r="I26" i="11"/>
  <c r="K43" i="30"/>
  <c r="K22" i="30"/>
  <c r="K77" i="30"/>
  <c r="T20" i="11"/>
  <c r="N27" i="11"/>
  <c r="L40" i="32"/>
  <c r="I25" i="11"/>
  <c r="C25" i="10"/>
  <c r="C25" i="7"/>
  <c r="K33" i="30"/>
  <c r="K50" i="30"/>
  <c r="K22" i="31"/>
  <c r="T34" i="11"/>
  <c r="K109" i="30"/>
  <c r="K74" i="30"/>
  <c r="H59" i="3"/>
  <c r="J59" i="3"/>
  <c r="G41" i="11"/>
  <c r="D14" i="19"/>
  <c r="J57" i="2"/>
  <c r="AD13" i="20"/>
  <c r="AJ13" i="20"/>
  <c r="AL13" i="20"/>
  <c r="C41" i="11"/>
  <c r="C48" i="8"/>
  <c r="K105" i="30"/>
  <c r="K53" i="30"/>
  <c r="K28" i="30"/>
  <c r="K33" i="31"/>
  <c r="T21" i="11"/>
  <c r="T33" i="11"/>
  <c r="K107" i="30"/>
  <c r="T32" i="11"/>
  <c r="K34" i="31"/>
  <c r="K152" i="30"/>
  <c r="K23" i="31"/>
  <c r="K85" i="30"/>
  <c r="K128" i="30"/>
  <c r="V42" i="35"/>
  <c r="L57" i="2"/>
  <c r="N57" i="2"/>
  <c r="N59" i="3"/>
  <c r="B74" i="22"/>
  <c r="V34" i="35"/>
  <c r="K48" i="30"/>
  <c r="K16" i="30"/>
  <c r="I22" i="14"/>
  <c r="C22" i="13"/>
  <c r="M22" i="13"/>
  <c r="F41" i="6"/>
  <c r="K138" i="30"/>
  <c r="S20" i="14"/>
  <c r="M27" i="14"/>
  <c r="K54" i="30"/>
  <c r="K127" i="30"/>
  <c r="K38" i="31"/>
  <c r="K94" i="30"/>
  <c r="K41" i="30"/>
  <c r="I21" i="11"/>
  <c r="C21" i="10"/>
  <c r="M21" i="10"/>
  <c r="K19" i="30"/>
  <c r="C26" i="12"/>
  <c r="I20" i="12"/>
  <c r="V31" i="35"/>
  <c r="E89" i="30"/>
  <c r="K29" i="30"/>
  <c r="K149" i="30"/>
  <c r="L32" i="32"/>
  <c r="C34" i="10"/>
  <c r="I34" i="11"/>
  <c r="L34" i="32"/>
  <c r="C24" i="10"/>
  <c r="I24" i="11"/>
  <c r="K57" i="30"/>
  <c r="AB53" i="15"/>
  <c r="K38" i="30"/>
  <c r="K63" i="30"/>
  <c r="K119" i="30"/>
  <c r="K25" i="31"/>
  <c r="V35" i="35"/>
  <c r="K71" i="30"/>
  <c r="K133" i="30"/>
  <c r="T24" i="11"/>
  <c r="K81" i="30"/>
  <c r="K14" i="30"/>
  <c r="K20" i="30"/>
  <c r="AB36" i="15"/>
  <c r="I23" i="9"/>
  <c r="K36" i="31"/>
  <c r="T25" i="11"/>
  <c r="L31" i="32"/>
  <c r="I21" i="12"/>
  <c r="M182" i="42"/>
  <c r="K97" i="30"/>
  <c r="L44" i="32"/>
  <c r="K143" i="30"/>
  <c r="M183" i="42"/>
  <c r="M175" i="42"/>
  <c r="K117" i="30"/>
  <c r="I41" i="9"/>
  <c r="S22" i="14"/>
  <c r="L33" i="32"/>
  <c r="L22" i="32"/>
  <c r="K151" i="30"/>
  <c r="I23" i="14"/>
  <c r="C23" i="13"/>
  <c r="P41" i="6"/>
  <c r="K42" i="30"/>
  <c r="K19" i="31"/>
  <c r="K104" i="30"/>
  <c r="K80" i="30"/>
  <c r="F44" i="5"/>
  <c r="M99" i="42"/>
  <c r="C32" i="7"/>
  <c r="L15" i="32"/>
  <c r="M33" i="14"/>
  <c r="C32" i="10"/>
  <c r="C31" i="7"/>
  <c r="I32" i="11"/>
  <c r="K55" i="30"/>
  <c r="I23" i="11"/>
  <c r="C23" i="10"/>
  <c r="M23" i="10"/>
  <c r="K39" i="31"/>
  <c r="K86" i="30"/>
  <c r="K18" i="30"/>
  <c r="K51" i="30"/>
  <c r="K120" i="30"/>
  <c r="V41" i="35"/>
  <c r="C30" i="13"/>
  <c r="C33" i="14"/>
  <c r="V19" i="35"/>
  <c r="K49" i="30"/>
  <c r="K136" i="30"/>
  <c r="C32" i="13"/>
  <c r="K23" i="30"/>
  <c r="L36" i="32"/>
  <c r="K37" i="31"/>
  <c r="N37" i="5"/>
  <c r="C26" i="13"/>
  <c r="K72" i="30"/>
  <c r="K24" i="31"/>
  <c r="V43" i="35"/>
  <c r="L38" i="32"/>
  <c r="L42" i="32"/>
  <c r="K132" i="30"/>
  <c r="M240" i="42"/>
  <c r="K84" i="30"/>
  <c r="E154" i="30"/>
  <c r="K122" i="30"/>
  <c r="I22" i="12"/>
  <c r="I22" i="9"/>
  <c r="L29" i="32"/>
  <c r="AB21" i="15"/>
  <c r="AB25" i="15"/>
  <c r="M84" i="42"/>
  <c r="K139" i="30"/>
  <c r="K70" i="30"/>
  <c r="L41" i="32"/>
  <c r="C22" i="10"/>
  <c r="M22" i="10"/>
  <c r="I22" i="11"/>
  <c r="C27" i="11"/>
  <c r="C20" i="10"/>
  <c r="C20" i="7"/>
  <c r="I20" i="11"/>
  <c r="K78" i="30"/>
  <c r="C33" i="10"/>
  <c r="C33" i="7"/>
  <c r="I33" i="11"/>
  <c r="J55" i="15"/>
  <c r="K23" i="13"/>
  <c r="I21" i="9"/>
  <c r="AJ41" i="19"/>
  <c r="AL41" i="19"/>
  <c r="X53" i="15"/>
  <c r="AH53" i="15"/>
  <c r="AJ53" i="15"/>
  <c r="AH43" i="15"/>
  <c r="AJ43" i="15"/>
  <c r="X44" i="15"/>
  <c r="AH44" i="15"/>
  <c r="AJ44" i="15"/>
  <c r="F36" i="15"/>
  <c r="F55" i="15"/>
  <c r="G23" i="7"/>
  <c r="I20" i="9"/>
  <c r="G20" i="7"/>
  <c r="AJ114" i="20"/>
  <c r="AL114" i="20"/>
  <c r="J52" i="3"/>
  <c r="V45" i="35"/>
  <c r="AE16" i="16"/>
  <c r="K154" i="30"/>
  <c r="C33" i="13"/>
  <c r="N32" i="5"/>
  <c r="N42" i="5"/>
  <c r="N45" i="5"/>
  <c r="C27" i="13"/>
  <c r="AD57" i="2"/>
  <c r="C37" i="14"/>
  <c r="M37" i="14"/>
  <c r="M40" i="14"/>
  <c r="G41" i="10"/>
  <c r="K41" i="10"/>
  <c r="K24" i="30"/>
  <c r="C43" i="9"/>
  <c r="C31" i="9"/>
  <c r="C24" i="7"/>
  <c r="C21" i="7"/>
  <c r="AB55" i="15"/>
  <c r="C29" i="7"/>
  <c r="AD14" i="19"/>
  <c r="T41" i="11"/>
  <c r="H57" i="2"/>
  <c r="C27" i="10"/>
  <c r="C39" i="11"/>
  <c r="C41" i="10"/>
  <c r="C49" i="7"/>
  <c r="I41" i="11"/>
  <c r="C23" i="7"/>
  <c r="I23" i="7"/>
  <c r="M20" i="10"/>
  <c r="C35" i="10"/>
  <c r="C22" i="7"/>
  <c r="C42" i="7"/>
  <c r="C41" i="7"/>
  <c r="N39" i="11"/>
  <c r="N42" i="11"/>
  <c r="E42" i="10"/>
  <c r="M23" i="13"/>
  <c r="I20" i="7"/>
  <c r="AA31" i="3"/>
  <c r="AA29" i="3"/>
  <c r="AA28" i="3"/>
  <c r="AA27" i="3"/>
  <c r="AA22" i="3"/>
  <c r="AF22" i="3"/>
  <c r="AH100" i="17"/>
  <c r="AJ100" i="17"/>
  <c r="AH94" i="17"/>
  <c r="AJ94" i="17"/>
  <c r="AH80" i="17"/>
  <c r="AJ80" i="17"/>
  <c r="AH79" i="17"/>
  <c r="AJ79" i="17"/>
  <c r="AH78" i="17"/>
  <c r="AJ78" i="17"/>
  <c r="C37" i="13"/>
  <c r="C40" i="13"/>
  <c r="C26" i="7"/>
  <c r="C47" i="9"/>
  <c r="C50" i="9"/>
  <c r="M41" i="10"/>
  <c r="C39" i="10"/>
  <c r="C42" i="10"/>
  <c r="AJ51" i="21"/>
  <c r="AL51" i="21"/>
  <c r="AJ50" i="21"/>
  <c r="AL50" i="21"/>
  <c r="AJ48" i="21"/>
  <c r="AL48" i="21"/>
  <c r="AJ47" i="21"/>
  <c r="AJ46" i="21"/>
  <c r="AL46" i="21"/>
  <c r="AJ45" i="21"/>
  <c r="AL45" i="21"/>
  <c r="AJ44" i="21"/>
  <c r="AL44" i="21"/>
  <c r="AJ43" i="21"/>
  <c r="AJ42" i="21"/>
  <c r="AL42" i="21"/>
  <c r="AJ41" i="21"/>
  <c r="AL41" i="21"/>
  <c r="AJ39" i="21"/>
  <c r="AL39" i="21"/>
  <c r="AJ38" i="21"/>
  <c r="AL38" i="21"/>
  <c r="AJ37" i="21"/>
  <c r="AL37" i="21"/>
  <c r="AJ36" i="21"/>
  <c r="AL36" i="21"/>
  <c r="AJ35" i="21"/>
  <c r="AL35" i="21"/>
  <c r="AJ34" i="21"/>
  <c r="AL34" i="21"/>
  <c r="AJ32" i="21"/>
  <c r="AL32" i="21"/>
  <c r="AJ30" i="21"/>
  <c r="AJ29" i="21"/>
  <c r="AJ28" i="21"/>
  <c r="AJ27" i="21"/>
  <c r="AJ26" i="21"/>
  <c r="AJ24" i="21"/>
  <c r="AJ23" i="21"/>
  <c r="AJ22" i="21"/>
  <c r="AJ21" i="21"/>
  <c r="AL21" i="21"/>
  <c r="AJ81" i="20"/>
  <c r="AL81" i="20"/>
  <c r="AJ80" i="20"/>
  <c r="AL80" i="20"/>
  <c r="AJ79" i="20"/>
  <c r="AL79" i="20"/>
  <c r="AJ78" i="20"/>
  <c r="AL78" i="20"/>
  <c r="AJ76" i="20"/>
  <c r="AL76" i="20"/>
  <c r="AJ75" i="20"/>
  <c r="AL75" i="20"/>
  <c r="AJ74" i="20"/>
  <c r="AL74" i="20"/>
  <c r="AJ73" i="20"/>
  <c r="AL73" i="20"/>
  <c r="AJ72" i="20"/>
  <c r="AJ69" i="20"/>
  <c r="AL69" i="20"/>
  <c r="AJ68" i="20"/>
  <c r="AL68" i="20"/>
  <c r="AJ67" i="20"/>
  <c r="AL67" i="20"/>
  <c r="AJ66" i="20"/>
  <c r="AL66" i="20"/>
  <c r="AJ64" i="20"/>
  <c r="AL64" i="20"/>
  <c r="AJ62" i="20"/>
  <c r="AL62" i="20"/>
  <c r="AJ61" i="20"/>
  <c r="AL61" i="20"/>
  <c r="AJ60" i="20"/>
  <c r="AL60" i="20"/>
  <c r="AJ59" i="20"/>
  <c r="AL59" i="20"/>
  <c r="AJ57" i="20"/>
  <c r="AL57" i="20"/>
  <c r="AJ56" i="20"/>
  <c r="AL56" i="20"/>
  <c r="AJ55" i="20"/>
  <c r="AL55" i="20"/>
  <c r="AJ54" i="20"/>
  <c r="AJ53" i="20"/>
  <c r="AL53" i="20"/>
  <c r="AJ52" i="20"/>
  <c r="AL52" i="20"/>
  <c r="AJ49" i="20"/>
  <c r="AL49" i="20"/>
  <c r="AJ48" i="20"/>
  <c r="AL48" i="20"/>
  <c r="AJ47" i="20"/>
  <c r="AL47" i="20"/>
  <c r="AJ46" i="20"/>
  <c r="AL46" i="20"/>
  <c r="AJ44" i="20"/>
  <c r="AL44" i="20"/>
  <c r="J117" i="19"/>
  <c r="AJ84" i="21"/>
  <c r="AL84" i="21"/>
  <c r="AL56" i="21"/>
  <c r="AJ19" i="21"/>
  <c r="AL19" i="21"/>
  <c r="G101" i="16"/>
  <c r="E101" i="16"/>
  <c r="AJ71" i="20"/>
  <c r="AL71" i="20"/>
  <c r="AB94" i="16"/>
  <c r="AB79" i="16"/>
  <c r="AB78" i="16"/>
  <c r="AB80" i="16"/>
  <c r="AB100" i="16"/>
  <c r="J121" i="19"/>
  <c r="AH100" i="16"/>
  <c r="AJ100" i="16"/>
  <c r="AH94" i="16"/>
  <c r="AJ94" i="16"/>
  <c r="AH80" i="16"/>
  <c r="AJ80" i="16"/>
  <c r="AH79" i="16"/>
  <c r="AJ79" i="16"/>
  <c r="AH78" i="16"/>
  <c r="AJ78" i="16"/>
  <c r="AJ52" i="21"/>
  <c r="J21" i="3"/>
  <c r="AJ82" i="20"/>
  <c r="G27" i="11"/>
  <c r="K27" i="11"/>
  <c r="G24" i="10"/>
  <c r="K24" i="10"/>
  <c r="AL82" i="20"/>
  <c r="M24" i="10"/>
  <c r="I32" i="14"/>
  <c r="O23" i="26"/>
  <c r="AD19" i="27"/>
  <c r="AD29" i="27"/>
  <c r="AI40" i="27"/>
  <c r="AD42" i="27"/>
  <c r="AG42" i="27"/>
  <c r="AD33" i="28"/>
  <c r="AG32" i="28"/>
  <c r="AI32" i="28"/>
  <c r="AG31" i="28"/>
  <c r="AI31" i="28"/>
  <c r="AD25" i="28"/>
  <c r="AG24" i="28"/>
  <c r="AG23" i="28"/>
  <c r="AI23" i="28"/>
  <c r="AG22" i="28"/>
  <c r="AI22" i="28"/>
  <c r="AB16" i="26"/>
  <c r="AB55" i="26"/>
  <c r="AE23" i="26"/>
  <c r="D26" i="5"/>
  <c r="AE34" i="26"/>
  <c r="AH45" i="26"/>
  <c r="AJ45" i="26"/>
  <c r="A38" i="12"/>
  <c r="A49" i="8"/>
  <c r="A48" i="8"/>
  <c r="E41" i="8"/>
  <c r="C41" i="8"/>
  <c r="E40" i="8"/>
  <c r="C40" i="8"/>
  <c r="E33" i="8"/>
  <c r="E32" i="8"/>
  <c r="E31" i="8"/>
  <c r="E29" i="8"/>
  <c r="C33" i="8"/>
  <c r="C32" i="8"/>
  <c r="C31" i="8"/>
  <c r="C30" i="8"/>
  <c r="C29" i="8"/>
  <c r="E25" i="8"/>
  <c r="C25" i="8"/>
  <c r="E24" i="8"/>
  <c r="C24" i="8"/>
  <c r="E23" i="8"/>
  <c r="E22" i="8"/>
  <c r="E20" i="8"/>
  <c r="C23" i="8"/>
  <c r="C21" i="8"/>
  <c r="C22" i="8"/>
  <c r="C20" i="8"/>
  <c r="C32" i="12"/>
  <c r="C36" i="12"/>
  <c r="C39" i="12"/>
  <c r="E34" i="8"/>
  <c r="D36" i="5"/>
  <c r="D44" i="5"/>
  <c r="D35" i="5"/>
  <c r="AH32" i="26"/>
  <c r="AJ32" i="26"/>
  <c r="D28" i="5"/>
  <c r="L28" i="5"/>
  <c r="S28" i="5"/>
  <c r="U28" i="5"/>
  <c r="AH31" i="26"/>
  <c r="AJ31" i="26"/>
  <c r="D27" i="5"/>
  <c r="AH30" i="26"/>
  <c r="AJ30" i="26"/>
  <c r="AH29" i="26"/>
  <c r="AJ29" i="26"/>
  <c r="D25" i="5"/>
  <c r="AH21" i="26"/>
  <c r="AJ21" i="26"/>
  <c r="D20" i="5"/>
  <c r="L20" i="5"/>
  <c r="S20" i="5"/>
  <c r="U20" i="5"/>
  <c r="AH20" i="26"/>
  <c r="AJ20" i="26"/>
  <c r="D19" i="5"/>
  <c r="L19" i="5"/>
  <c r="S19" i="5"/>
  <c r="U19" i="5"/>
  <c r="AH19" i="26"/>
  <c r="AJ19" i="26"/>
  <c r="D18" i="5"/>
  <c r="C26" i="8"/>
  <c r="E26" i="8"/>
  <c r="H36" i="5"/>
  <c r="AG39" i="27"/>
  <c r="H35" i="5"/>
  <c r="AG27" i="27"/>
  <c r="H27" i="5"/>
  <c r="AG26" i="27"/>
  <c r="AI26" i="27"/>
  <c r="H26" i="5"/>
  <c r="L26" i="5"/>
  <c r="S26" i="5"/>
  <c r="U26" i="5"/>
  <c r="AG25" i="27"/>
  <c r="AI25" i="27"/>
  <c r="H25" i="5"/>
  <c r="H18" i="5"/>
  <c r="AE39" i="26"/>
  <c r="AE53" i="26"/>
  <c r="AH44" i="26"/>
  <c r="AJ44" i="26"/>
  <c r="E42" i="8"/>
  <c r="C42" i="8"/>
  <c r="AG33" i="28"/>
  <c r="AI33" i="28"/>
  <c r="AD34" i="27"/>
  <c r="AD48" i="27"/>
  <c r="AD50" i="27"/>
  <c r="AA33" i="28"/>
  <c r="AG17" i="27"/>
  <c r="AI17" i="27"/>
  <c r="AG25" i="28"/>
  <c r="AI25" i="28"/>
  <c r="AG13" i="28"/>
  <c r="AI13" i="28"/>
  <c r="C34" i="8"/>
  <c r="AI39" i="27"/>
  <c r="AI42" i="27"/>
  <c r="L18" i="5"/>
  <c r="D37" i="5"/>
  <c r="L36" i="5"/>
  <c r="S36" i="5"/>
  <c r="AH47" i="26"/>
  <c r="AJ47" i="26"/>
  <c r="D29" i="5"/>
  <c r="L27" i="5"/>
  <c r="S27" i="5"/>
  <c r="AH34" i="26"/>
  <c r="AJ34" i="26"/>
  <c r="AH23" i="26"/>
  <c r="AJ23" i="26"/>
  <c r="D21" i="5"/>
  <c r="H37" i="5"/>
  <c r="L35" i="5"/>
  <c r="H29" i="5"/>
  <c r="L25" i="5"/>
  <c r="AG29" i="27"/>
  <c r="AI29" i="27"/>
  <c r="H21" i="5"/>
  <c r="AG19" i="27"/>
  <c r="AI19" i="27"/>
  <c r="C46" i="8"/>
  <c r="C49" i="8"/>
  <c r="C37" i="8"/>
  <c r="C42" i="11"/>
  <c r="U36" i="5"/>
  <c r="AA37" i="28"/>
  <c r="D32" i="5"/>
  <c r="D42" i="5"/>
  <c r="D45" i="5"/>
  <c r="AH39" i="26"/>
  <c r="AJ39" i="26"/>
  <c r="L37" i="5"/>
  <c r="S37" i="5"/>
  <c r="S35" i="5"/>
  <c r="S25" i="5"/>
  <c r="L29" i="5"/>
  <c r="H32" i="5"/>
  <c r="H42" i="5"/>
  <c r="L21" i="5"/>
  <c r="S18" i="5"/>
  <c r="AG34" i="27"/>
  <c r="AI34" i="27"/>
  <c r="A6" i="14"/>
  <c r="A6" i="12"/>
  <c r="A6" i="11"/>
  <c r="A6" i="9"/>
  <c r="A6" i="8"/>
  <c r="AL60" i="23"/>
  <c r="AN60" i="23"/>
  <c r="AL55" i="23"/>
  <c r="AN55" i="23"/>
  <c r="AL54" i="23"/>
  <c r="AN54" i="23"/>
  <c r="AL50" i="23"/>
  <c r="AN50" i="23"/>
  <c r="AL48" i="23"/>
  <c r="AL46" i="23"/>
  <c r="AN46" i="23"/>
  <c r="AL44" i="23"/>
  <c r="AN44" i="23"/>
  <c r="AG39" i="22"/>
  <c r="AI39" i="22"/>
  <c r="AG38" i="22"/>
  <c r="AI38" i="22"/>
  <c r="U35" i="5"/>
  <c r="U37" i="5"/>
  <c r="AA38" i="28"/>
  <c r="AG41" i="22"/>
  <c r="AI41" i="22"/>
  <c r="AL39" i="23"/>
  <c r="AN39" i="23"/>
  <c r="AL58" i="23"/>
  <c r="AN58" i="23"/>
  <c r="AL43" i="23"/>
  <c r="AN43" i="23"/>
  <c r="AL51" i="23"/>
  <c r="AN51" i="23"/>
  <c r="AL41" i="23"/>
  <c r="AN41" i="23"/>
  <c r="AL52" i="23"/>
  <c r="AN52" i="23"/>
  <c r="AL59" i="23"/>
  <c r="AN59" i="23"/>
  <c r="AL45" i="23"/>
  <c r="AN45" i="23"/>
  <c r="AH53" i="26"/>
  <c r="AJ53" i="26"/>
  <c r="U25" i="5"/>
  <c r="S29" i="5"/>
  <c r="U29" i="5"/>
  <c r="L32" i="5"/>
  <c r="L42" i="5"/>
  <c r="S21" i="5"/>
  <c r="U18" i="5"/>
  <c r="AG37" i="22"/>
  <c r="AI37" i="22"/>
  <c r="AG48" i="27"/>
  <c r="AI48" i="27"/>
  <c r="S32" i="5"/>
  <c r="U32" i="5"/>
  <c r="AG44" i="22"/>
  <c r="AI44" i="22"/>
  <c r="U21" i="5"/>
  <c r="C40" i="14"/>
  <c r="S42" i="5"/>
  <c r="U42" i="5"/>
  <c r="Q26" i="14"/>
  <c r="U26" i="14"/>
  <c r="G26" i="13"/>
  <c r="U27" i="14"/>
  <c r="S26" i="14"/>
  <c r="N44" i="3"/>
  <c r="L44" i="3"/>
  <c r="N41" i="3"/>
  <c r="L41" i="3"/>
  <c r="N39" i="3"/>
  <c r="L39" i="3"/>
  <c r="N36" i="3"/>
  <c r="L36" i="3"/>
  <c r="N35" i="3"/>
  <c r="L35" i="3"/>
  <c r="N34" i="3"/>
  <c r="L34" i="3"/>
  <c r="N33" i="3"/>
  <c r="L33" i="3"/>
  <c r="N32" i="3"/>
  <c r="L32" i="3"/>
  <c r="N31" i="3"/>
  <c r="L31" i="3"/>
  <c r="N29" i="3"/>
  <c r="L29" i="3"/>
  <c r="N28" i="3"/>
  <c r="L28" i="3"/>
  <c r="N27" i="3"/>
  <c r="L27" i="3"/>
  <c r="N19" i="3"/>
  <c r="L19" i="3"/>
  <c r="T15" i="3"/>
  <c r="R15" i="3"/>
  <c r="N15" i="3"/>
  <c r="L15" i="3"/>
  <c r="J15" i="3"/>
  <c r="H15" i="3"/>
  <c r="T14" i="3"/>
  <c r="N14" i="3"/>
  <c r="J14" i="3"/>
  <c r="H37" i="3"/>
  <c r="H45" i="3"/>
  <c r="N37" i="3"/>
  <c r="L37" i="3"/>
  <c r="H23" i="3"/>
  <c r="R44" i="3"/>
  <c r="H53" i="3"/>
  <c r="E46" i="8"/>
  <c r="G137" i="17"/>
  <c r="E137" i="17"/>
  <c r="AB126" i="17"/>
  <c r="AH126" i="17"/>
  <c r="AB125" i="17"/>
  <c r="AH125" i="17"/>
  <c r="AJ125" i="17"/>
  <c r="G119" i="17"/>
  <c r="G128" i="17"/>
  <c r="E119" i="17"/>
  <c r="E128" i="17"/>
  <c r="K25" i="13"/>
  <c r="S25" i="14"/>
  <c r="I25" i="14"/>
  <c r="S21" i="14"/>
  <c r="E131" i="17"/>
  <c r="E141" i="17"/>
  <c r="H48" i="3"/>
  <c r="H57" i="3"/>
  <c r="AA37" i="3"/>
  <c r="AA45" i="3"/>
  <c r="E37" i="8"/>
  <c r="G131" i="17"/>
  <c r="G141" i="17"/>
  <c r="M25" i="13"/>
  <c r="E49" i="8"/>
  <c r="E40" i="14"/>
  <c r="E42" i="11"/>
  <c r="AJ47" i="19"/>
  <c r="AL47" i="19"/>
  <c r="AD48" i="19"/>
  <c r="AJ48" i="19"/>
  <c r="AL48" i="19"/>
  <c r="AD50" i="19"/>
  <c r="AJ50" i="19"/>
  <c r="AL50" i="19"/>
  <c r="AD54" i="19"/>
  <c r="AJ54" i="19"/>
  <c r="AL54" i="19"/>
  <c r="AJ55" i="19"/>
  <c r="AD57" i="19"/>
  <c r="AJ57" i="19"/>
  <c r="AL57" i="19"/>
  <c r="AD61" i="19"/>
  <c r="AJ61" i="19"/>
  <c r="AL61" i="19"/>
  <c r="AD66" i="19"/>
  <c r="AJ66" i="19"/>
  <c r="AD68" i="19"/>
  <c r="AJ68" i="19"/>
  <c r="AL68" i="19"/>
  <c r="AD69" i="19"/>
  <c r="AJ69" i="19"/>
  <c r="AL69" i="19"/>
  <c r="AD70" i="19"/>
  <c r="AJ70" i="19"/>
  <c r="AL70" i="19"/>
  <c r="AD73" i="19"/>
  <c r="AJ73" i="19"/>
  <c r="AD75" i="19"/>
  <c r="AJ75" i="19"/>
  <c r="AL75" i="19"/>
  <c r="AD76" i="19"/>
  <c r="AJ76" i="19"/>
  <c r="AL76" i="19"/>
  <c r="AD77" i="19"/>
  <c r="AJ77" i="19"/>
  <c r="AL77" i="19"/>
  <c r="AD79" i="19"/>
  <c r="AJ79" i="19"/>
  <c r="AL79" i="19"/>
  <c r="AD82" i="19"/>
  <c r="AJ82" i="19"/>
  <c r="AL82" i="19"/>
  <c r="AD81" i="19"/>
  <c r="AJ81" i="19"/>
  <c r="AL81" i="19"/>
  <c r="AD62" i="19"/>
  <c r="AJ62" i="19"/>
  <c r="AL62" i="19"/>
  <c r="AD53" i="19"/>
  <c r="AJ53" i="19"/>
  <c r="AL53" i="19"/>
  <c r="AD65" i="19"/>
  <c r="AJ65" i="19"/>
  <c r="AL65" i="19"/>
  <c r="AD60" i="19"/>
  <c r="AJ60" i="19"/>
  <c r="AL60" i="19"/>
  <c r="AI90" i="18"/>
  <c r="AK90" i="18"/>
  <c r="AI79" i="18"/>
  <c r="AK79" i="18"/>
  <c r="AI74" i="18"/>
  <c r="AK74" i="18"/>
  <c r="AI62" i="18"/>
  <c r="AK62" i="18"/>
  <c r="AI61" i="18"/>
  <c r="AK61" i="18"/>
  <c r="C90" i="17"/>
  <c r="C86" i="17"/>
  <c r="C66" i="17"/>
  <c r="C99" i="17"/>
  <c r="C67" i="17"/>
  <c r="AB83" i="17"/>
  <c r="AH83" i="17"/>
  <c r="AJ83" i="17"/>
  <c r="AI64" i="18"/>
  <c r="AK63" i="18"/>
  <c r="AI78" i="18"/>
  <c r="AI82" i="18"/>
  <c r="AK82" i="18"/>
  <c r="AB83" i="16"/>
  <c r="AI91" i="18"/>
  <c r="AD80" i="19"/>
  <c r="AJ80" i="19"/>
  <c r="AL80" i="19"/>
  <c r="AD78" i="19"/>
  <c r="AJ78" i="19"/>
  <c r="AL78" i="19"/>
  <c r="AD74" i="19"/>
  <c r="AJ74" i="19"/>
  <c r="AL74" i="19"/>
  <c r="AD72" i="19"/>
  <c r="AJ72" i="19"/>
  <c r="AL72" i="19"/>
  <c r="AD67" i="19"/>
  <c r="AJ67" i="19"/>
  <c r="AL67" i="19"/>
  <c r="AJ63" i="19"/>
  <c r="AL63" i="19"/>
  <c r="AD58" i="19"/>
  <c r="AJ58" i="19"/>
  <c r="AL58" i="19"/>
  <c r="AD56" i="19"/>
  <c r="AJ56" i="19"/>
  <c r="AL56" i="19"/>
  <c r="AD49" i="19"/>
  <c r="AJ49" i="19"/>
  <c r="AL49" i="19"/>
  <c r="AD45" i="19"/>
  <c r="AI89" i="18"/>
  <c r="AK89" i="18"/>
  <c r="AI85" i="18"/>
  <c r="AK85" i="18"/>
  <c r="AI84" i="18"/>
  <c r="AK84" i="18"/>
  <c r="AI80" i="18"/>
  <c r="AK80" i="18"/>
  <c r="AI77" i="18"/>
  <c r="AK77" i="18"/>
  <c r="AI76" i="18"/>
  <c r="AK76" i="18"/>
  <c r="AI73" i="18"/>
  <c r="AK73" i="18"/>
  <c r="AI72" i="18"/>
  <c r="AK72" i="18"/>
  <c r="AI71" i="18"/>
  <c r="AK71" i="18"/>
  <c r="AI70" i="18"/>
  <c r="AK70" i="18"/>
  <c r="AI69" i="18"/>
  <c r="AK69" i="18"/>
  <c r="AI68" i="18"/>
  <c r="AK68" i="18"/>
  <c r="AI66" i="18"/>
  <c r="AK66" i="18"/>
  <c r="AI59" i="18"/>
  <c r="AK59" i="18"/>
  <c r="AI58" i="18"/>
  <c r="AK58" i="18"/>
  <c r="AD83" i="19"/>
  <c r="AH83" i="16"/>
  <c r="C101" i="17"/>
  <c r="C105" i="17"/>
  <c r="C131" i="17"/>
  <c r="C141" i="17"/>
  <c r="C101" i="16"/>
  <c r="AJ45" i="19"/>
  <c r="AL45" i="19"/>
  <c r="AI92" i="18"/>
  <c r="AK92" i="18"/>
  <c r="G24" i="9"/>
  <c r="I24" i="9"/>
  <c r="AJ83" i="19"/>
  <c r="F18" i="2"/>
  <c r="F21" i="3"/>
  <c r="G105" i="16"/>
  <c r="L52" i="3"/>
  <c r="L51" i="3"/>
  <c r="L43" i="3"/>
  <c r="R43" i="3"/>
  <c r="L40" i="3"/>
  <c r="L21" i="3"/>
  <c r="L20" i="3"/>
  <c r="L18" i="3"/>
  <c r="L17" i="3"/>
  <c r="AA14" i="27"/>
  <c r="L45" i="3"/>
  <c r="L53" i="3"/>
  <c r="H44" i="5"/>
  <c r="AA50" i="27"/>
  <c r="AG50" i="27"/>
  <c r="AI50" i="27"/>
  <c r="AG14" i="27"/>
  <c r="AI14" i="27"/>
  <c r="H45" i="5"/>
  <c r="L44" i="5"/>
  <c r="L45" i="5"/>
  <c r="G26" i="10"/>
  <c r="L22" i="3"/>
  <c r="AG100" i="20"/>
  <c r="AG107" i="20"/>
  <c r="I27" i="11"/>
  <c r="L23" i="3"/>
  <c r="L48" i="3"/>
  <c r="L57" i="3"/>
  <c r="F15" i="6"/>
  <c r="I30" i="9"/>
  <c r="AI124" i="18"/>
  <c r="AK124" i="18"/>
  <c r="G28" i="9"/>
  <c r="AI125" i="18"/>
  <c r="AK125" i="18"/>
  <c r="G29" i="9"/>
  <c r="E105" i="16"/>
  <c r="AI126" i="18"/>
  <c r="AK126" i="18"/>
  <c r="I29" i="9"/>
  <c r="I28" i="9"/>
  <c r="X29" i="27"/>
  <c r="J40" i="3"/>
  <c r="J36" i="3"/>
  <c r="J35" i="3"/>
  <c r="J34" i="3"/>
  <c r="J33" i="3"/>
  <c r="J32" i="3"/>
  <c r="J31" i="3"/>
  <c r="J29" i="3"/>
  <c r="J28" i="3"/>
  <c r="J27" i="3"/>
  <c r="J22" i="3"/>
  <c r="AL86" i="20"/>
  <c r="J44" i="3"/>
  <c r="T44" i="3"/>
  <c r="J41" i="3"/>
  <c r="J39" i="3"/>
  <c r="J37" i="3"/>
  <c r="AJ82" i="24"/>
  <c r="AL82" i="24"/>
  <c r="AJ81" i="24"/>
  <c r="AL81" i="24"/>
  <c r="AJ80" i="24"/>
  <c r="AL80" i="24"/>
  <c r="AJ77" i="24"/>
  <c r="AL77" i="24"/>
  <c r="AJ75" i="24"/>
  <c r="AL75" i="24"/>
  <c r="AJ74" i="24"/>
  <c r="AL74" i="24"/>
  <c r="AJ73" i="24"/>
  <c r="AL73" i="24"/>
  <c r="AJ72" i="24"/>
  <c r="AL72" i="24"/>
  <c r="AG76" i="25"/>
  <c r="AA76" i="25"/>
  <c r="Y76" i="25"/>
  <c r="W76" i="25"/>
  <c r="S76" i="25"/>
  <c r="Q76" i="25"/>
  <c r="O76" i="25"/>
  <c r="M76" i="25"/>
  <c r="K76" i="25"/>
  <c r="I76" i="25"/>
  <c r="G76" i="25"/>
  <c r="E76" i="25"/>
  <c r="AG60" i="25"/>
  <c r="AA60" i="25"/>
  <c r="AA67" i="25"/>
  <c r="Y60" i="25"/>
  <c r="Y67" i="25"/>
  <c r="W60" i="25"/>
  <c r="W67" i="25"/>
  <c r="S60" i="25"/>
  <c r="S67" i="25"/>
  <c r="Q60" i="25"/>
  <c r="Q67" i="25"/>
  <c r="O60" i="25"/>
  <c r="O67" i="25"/>
  <c r="M60" i="25"/>
  <c r="M67" i="25"/>
  <c r="AJ64" i="25"/>
  <c r="AL64" i="25"/>
  <c r="AJ63" i="25"/>
  <c r="AL63" i="25"/>
  <c r="AJ62" i="25"/>
  <c r="AL62" i="25"/>
  <c r="AJ58" i="25"/>
  <c r="AL58" i="25"/>
  <c r="AJ57" i="25"/>
  <c r="AL57" i="25"/>
  <c r="AJ56" i="25"/>
  <c r="AL56" i="25"/>
  <c r="AJ55" i="25"/>
  <c r="AL55" i="25"/>
  <c r="AJ54" i="25"/>
  <c r="AL54" i="25"/>
  <c r="AJ52" i="25"/>
  <c r="AJ50" i="25"/>
  <c r="AL46" i="25"/>
  <c r="AG95" i="24"/>
  <c r="AA95" i="24"/>
  <c r="Y95" i="24"/>
  <c r="W95" i="24"/>
  <c r="S95" i="24"/>
  <c r="Q95" i="24"/>
  <c r="O95" i="24"/>
  <c r="M95" i="24"/>
  <c r="K95" i="24"/>
  <c r="I95" i="24"/>
  <c r="G95" i="24"/>
  <c r="Y47" i="26"/>
  <c r="W47" i="26"/>
  <c r="U47" i="26"/>
  <c r="S47" i="26"/>
  <c r="Q47" i="26"/>
  <c r="O47" i="26"/>
  <c r="M47" i="26"/>
  <c r="K47" i="26"/>
  <c r="I47" i="26"/>
  <c r="G47" i="26"/>
  <c r="E47" i="26"/>
  <c r="C47" i="26"/>
  <c r="Y34" i="26"/>
  <c r="W34" i="26"/>
  <c r="U34" i="26"/>
  <c r="S34" i="26"/>
  <c r="O34" i="26"/>
  <c r="O39" i="26"/>
  <c r="K34" i="26"/>
  <c r="Y23" i="26"/>
  <c r="W23" i="26"/>
  <c r="S23" i="26"/>
  <c r="Q23" i="26"/>
  <c r="K23" i="26"/>
  <c r="AG32" i="29"/>
  <c r="AI32" i="29"/>
  <c r="AG31" i="29"/>
  <c r="AI31" i="29"/>
  <c r="X42" i="27"/>
  <c r="V42" i="27"/>
  <c r="T42" i="27"/>
  <c r="R42" i="27"/>
  <c r="P42" i="27"/>
  <c r="N42" i="27"/>
  <c r="L42" i="27"/>
  <c r="J42" i="27"/>
  <c r="H42" i="27"/>
  <c r="F42" i="27"/>
  <c r="D42" i="27"/>
  <c r="B42" i="27"/>
  <c r="V29" i="27"/>
  <c r="T29" i="27"/>
  <c r="R29" i="27"/>
  <c r="P29" i="27"/>
  <c r="N29" i="27"/>
  <c r="J29" i="27"/>
  <c r="X19" i="27"/>
  <c r="X34" i="27"/>
  <c r="V19" i="27"/>
  <c r="T19" i="27"/>
  <c r="R19" i="27"/>
  <c r="N19" i="27"/>
  <c r="J19" i="27"/>
  <c r="X33" i="29"/>
  <c r="T33" i="29"/>
  <c r="R33" i="29"/>
  <c r="P33" i="29"/>
  <c r="N33" i="29"/>
  <c r="L33" i="29"/>
  <c r="J33" i="29"/>
  <c r="H33" i="29"/>
  <c r="F33" i="29"/>
  <c r="D33" i="29"/>
  <c r="B33" i="29"/>
  <c r="AG24" i="29"/>
  <c r="AI24" i="29"/>
  <c r="AG23" i="29"/>
  <c r="AI23" i="29"/>
  <c r="AG22" i="29"/>
  <c r="X25" i="29"/>
  <c r="T25" i="29"/>
  <c r="R25" i="29"/>
  <c r="P25" i="29"/>
  <c r="N25" i="29"/>
  <c r="J25" i="29"/>
  <c r="X33" i="28"/>
  <c r="T33" i="28"/>
  <c r="R33" i="28"/>
  <c r="P33" i="28"/>
  <c r="N33" i="28"/>
  <c r="L33" i="28"/>
  <c r="H33" i="28"/>
  <c r="F33" i="28"/>
  <c r="D33" i="28"/>
  <c r="B33" i="28"/>
  <c r="X25" i="28"/>
  <c r="T25" i="28"/>
  <c r="R25" i="28"/>
  <c r="P25" i="28"/>
  <c r="J25" i="28"/>
  <c r="X17" i="28"/>
  <c r="T17" i="28"/>
  <c r="R17" i="28"/>
  <c r="P17" i="28"/>
  <c r="N17" i="28"/>
  <c r="J17" i="28"/>
  <c r="X17" i="29"/>
  <c r="T17" i="29"/>
  <c r="R17" i="29"/>
  <c r="N17" i="29"/>
  <c r="J17" i="29"/>
  <c r="J45" i="32"/>
  <c r="H45" i="32"/>
  <c r="D45" i="32"/>
  <c r="J24" i="32"/>
  <c r="H24" i="32"/>
  <c r="F24" i="32"/>
  <c r="D24" i="32"/>
  <c r="J17" i="32"/>
  <c r="H17" i="32"/>
  <c r="F17" i="32"/>
  <c r="D17" i="32"/>
  <c r="L17" i="32"/>
  <c r="I40" i="31"/>
  <c r="G40" i="31"/>
  <c r="E40" i="31"/>
  <c r="C40" i="31"/>
  <c r="I26" i="31"/>
  <c r="G26" i="31"/>
  <c r="E26" i="31"/>
  <c r="C26" i="31"/>
  <c r="AG78" i="24"/>
  <c r="AG85" i="24"/>
  <c r="W78" i="24"/>
  <c r="W85" i="24"/>
  <c r="S78" i="24"/>
  <c r="S85" i="24"/>
  <c r="M78" i="24"/>
  <c r="M85" i="24"/>
  <c r="E95" i="24"/>
  <c r="G31" i="12"/>
  <c r="I31" i="12"/>
  <c r="G25" i="12"/>
  <c r="I25" i="12"/>
  <c r="G29" i="12"/>
  <c r="I29" i="12"/>
  <c r="D66" i="22"/>
  <c r="AG86" i="21"/>
  <c r="AG70" i="21"/>
  <c r="Z86" i="21"/>
  <c r="X86" i="21"/>
  <c r="V86" i="21"/>
  <c r="T86" i="21"/>
  <c r="N86" i="21"/>
  <c r="H86" i="21"/>
  <c r="F86" i="21"/>
  <c r="D86" i="21"/>
  <c r="G30" i="11"/>
  <c r="Z116" i="20"/>
  <c r="V116" i="20"/>
  <c r="T116" i="20"/>
  <c r="R116" i="20"/>
  <c r="P116" i="20"/>
  <c r="N116" i="20"/>
  <c r="L116" i="20"/>
  <c r="J116" i="20"/>
  <c r="H116" i="20"/>
  <c r="F116" i="20"/>
  <c r="X100" i="20"/>
  <c r="X107" i="20"/>
  <c r="V100" i="20"/>
  <c r="V107" i="20"/>
  <c r="T107" i="20"/>
  <c r="T110" i="20"/>
  <c r="R100" i="20"/>
  <c r="R107" i="20"/>
  <c r="P100" i="20"/>
  <c r="P107" i="20"/>
  <c r="P110" i="20"/>
  <c r="L100" i="20"/>
  <c r="L107" i="20"/>
  <c r="D116" i="20"/>
  <c r="Z117" i="19"/>
  <c r="V117" i="19"/>
  <c r="V121" i="19"/>
  <c r="T117" i="19"/>
  <c r="N117" i="19"/>
  <c r="H117" i="19"/>
  <c r="F117" i="19"/>
  <c r="AF134" i="18"/>
  <c r="AF110" i="18"/>
  <c r="AF116" i="18"/>
  <c r="J28" i="29"/>
  <c r="J37" i="29"/>
  <c r="I30" i="11"/>
  <c r="V34" i="27"/>
  <c r="V48" i="27"/>
  <c r="T34" i="27"/>
  <c r="T48" i="27"/>
  <c r="O53" i="26"/>
  <c r="L48" i="27"/>
  <c r="Q39" i="26"/>
  <c r="Q53" i="26"/>
  <c r="J34" i="27"/>
  <c r="J48" i="27"/>
  <c r="Y39" i="26"/>
  <c r="Y53" i="26"/>
  <c r="R34" i="27"/>
  <c r="R48" i="27"/>
  <c r="N34" i="27"/>
  <c r="N48" i="27"/>
  <c r="L37" i="28"/>
  <c r="X28" i="28"/>
  <c r="X37" i="28"/>
  <c r="B37" i="28"/>
  <c r="B38" i="28"/>
  <c r="G21" i="14"/>
  <c r="R28" i="28"/>
  <c r="R37" i="28"/>
  <c r="N28" i="28"/>
  <c r="N37" i="28"/>
  <c r="AL100" i="20"/>
  <c r="AG77" i="21"/>
  <c r="T28" i="28"/>
  <c r="T37" i="28"/>
  <c r="G32" i="10"/>
  <c r="K32" i="10"/>
  <c r="G33" i="10"/>
  <c r="K33" i="10"/>
  <c r="F48" i="27"/>
  <c r="H37" i="28"/>
  <c r="G25" i="10"/>
  <c r="K25" i="10"/>
  <c r="H121" i="19"/>
  <c r="E100" i="24"/>
  <c r="E102" i="24"/>
  <c r="E80" i="25"/>
  <c r="E82" i="25"/>
  <c r="W39" i="26"/>
  <c r="W53" i="26"/>
  <c r="T28" i="29"/>
  <c r="T37" i="29"/>
  <c r="S39" i="26"/>
  <c r="S53" i="26"/>
  <c r="T120" i="20"/>
  <c r="X48" i="27"/>
  <c r="P28" i="28"/>
  <c r="P37" i="28"/>
  <c r="D48" i="27"/>
  <c r="D50" i="27"/>
  <c r="J48" i="32"/>
  <c r="N28" i="29"/>
  <c r="N37" i="29"/>
  <c r="B37" i="29"/>
  <c r="B38" i="29"/>
  <c r="H37" i="29"/>
  <c r="P28" i="29"/>
  <c r="P37" i="29"/>
  <c r="X28" i="29"/>
  <c r="X37" i="29"/>
  <c r="R28" i="29"/>
  <c r="R37" i="29"/>
  <c r="F37" i="29"/>
  <c r="I43" i="31"/>
  <c r="J28" i="28"/>
  <c r="J37" i="28"/>
  <c r="G31" i="10"/>
  <c r="K31" i="10"/>
  <c r="N121" i="19"/>
  <c r="D120" i="20"/>
  <c r="D122" i="20"/>
  <c r="I24" i="14"/>
  <c r="I26" i="14"/>
  <c r="K26" i="13"/>
  <c r="AG46" i="22"/>
  <c r="AI46" i="22"/>
  <c r="G24" i="12"/>
  <c r="I24" i="12"/>
  <c r="D48" i="32"/>
  <c r="AG33" i="29"/>
  <c r="AI33" i="29"/>
  <c r="AG25" i="29"/>
  <c r="N120" i="20"/>
  <c r="V110" i="20"/>
  <c r="V120" i="20"/>
  <c r="L110" i="20"/>
  <c r="L120" i="20"/>
  <c r="P120" i="20"/>
  <c r="X110" i="20"/>
  <c r="X120" i="20"/>
  <c r="R110" i="20"/>
  <c r="R120" i="20"/>
  <c r="Z120" i="20"/>
  <c r="AJ76" i="25"/>
  <c r="AL76" i="25"/>
  <c r="AJ91" i="24"/>
  <c r="AD44" i="3"/>
  <c r="G33" i="8"/>
  <c r="K33" i="8"/>
  <c r="J45" i="3"/>
  <c r="J120" i="20"/>
  <c r="J23" i="3"/>
  <c r="Q88" i="24"/>
  <c r="Q100" i="24"/>
  <c r="K100" i="24"/>
  <c r="S88" i="24"/>
  <c r="S100" i="24"/>
  <c r="AA88" i="24"/>
  <c r="AA100" i="24"/>
  <c r="W88" i="24"/>
  <c r="W100" i="24"/>
  <c r="M88" i="24"/>
  <c r="M100" i="24"/>
  <c r="Y100" i="24"/>
  <c r="O100" i="24"/>
  <c r="AJ62" i="24"/>
  <c r="AL62" i="24"/>
  <c r="AJ83" i="24"/>
  <c r="AL83" i="24"/>
  <c r="O70" i="25"/>
  <c r="O80" i="25"/>
  <c r="M70" i="25"/>
  <c r="M80" i="25"/>
  <c r="W70" i="25"/>
  <c r="W80" i="25"/>
  <c r="K80" i="25"/>
  <c r="S70" i="25"/>
  <c r="S80" i="25"/>
  <c r="AA70" i="25"/>
  <c r="AA80" i="25"/>
  <c r="Q70" i="25"/>
  <c r="Q80" i="25"/>
  <c r="Y70" i="25"/>
  <c r="Y80" i="25"/>
  <c r="AJ51" i="25"/>
  <c r="AL51" i="25"/>
  <c r="I53" i="26"/>
  <c r="C53" i="26"/>
  <c r="C55" i="26"/>
  <c r="K39" i="26"/>
  <c r="K53" i="26"/>
  <c r="H48" i="27"/>
  <c r="P34" i="27"/>
  <c r="P48" i="27"/>
  <c r="B48" i="27"/>
  <c r="B50" i="27"/>
  <c r="D37" i="29"/>
  <c r="G23" i="12"/>
  <c r="I23" i="12"/>
  <c r="AG54" i="22"/>
  <c r="AI54" i="22"/>
  <c r="G30" i="12"/>
  <c r="I30" i="12"/>
  <c r="Z121" i="19"/>
  <c r="T121" i="19"/>
  <c r="G53" i="26"/>
  <c r="AG64" i="22"/>
  <c r="AI64" i="22"/>
  <c r="AG63" i="22"/>
  <c r="AI63" i="22"/>
  <c r="F37" i="28"/>
  <c r="H120" i="20"/>
  <c r="I101" i="23"/>
  <c r="AJ65" i="25"/>
  <c r="AL65" i="25"/>
  <c r="I80" i="25"/>
  <c r="AJ70" i="24"/>
  <c r="AL70" i="24"/>
  <c r="I100" i="24"/>
  <c r="AJ19" i="24"/>
  <c r="AL19" i="24"/>
  <c r="AJ26" i="24"/>
  <c r="AL26" i="24"/>
  <c r="D71" i="22"/>
  <c r="AJ92" i="24"/>
  <c r="AL92" i="24"/>
  <c r="AJ20" i="24"/>
  <c r="AL20" i="24"/>
  <c r="E53" i="26"/>
  <c r="AJ21" i="24"/>
  <c r="AL21" i="24"/>
  <c r="D37" i="28"/>
  <c r="AJ76" i="24"/>
  <c r="AL76" i="24"/>
  <c r="AJ69" i="24"/>
  <c r="AL69" i="24"/>
  <c r="G100" i="24"/>
  <c r="AJ68" i="24"/>
  <c r="AJ59" i="25"/>
  <c r="Q30" i="14"/>
  <c r="G80" i="25"/>
  <c r="AJ44" i="25"/>
  <c r="AL44" i="25"/>
  <c r="AG52" i="22"/>
  <c r="AI52" i="22"/>
  <c r="AG110" i="20"/>
  <c r="AG120" i="20"/>
  <c r="AG122" i="20"/>
  <c r="AJ100" i="20"/>
  <c r="F120" i="20"/>
  <c r="F122" i="20"/>
  <c r="AL107" i="20"/>
  <c r="F121" i="19"/>
  <c r="H48" i="32"/>
  <c r="L45" i="32"/>
  <c r="F48" i="32"/>
  <c r="L24" i="32"/>
  <c r="G43" i="31"/>
  <c r="E43" i="31"/>
  <c r="C43" i="31"/>
  <c r="AA33" i="29"/>
  <c r="AA25" i="29"/>
  <c r="K40" i="31"/>
  <c r="K26" i="31"/>
  <c r="N34" i="6"/>
  <c r="N19" i="6"/>
  <c r="N34" i="2"/>
  <c r="I111" i="30"/>
  <c r="G111" i="30"/>
  <c r="E111" i="30"/>
  <c r="C111" i="30"/>
  <c r="I99" i="30"/>
  <c r="E99" i="30"/>
  <c r="C99" i="30"/>
  <c r="I89" i="30"/>
  <c r="G89" i="30"/>
  <c r="C89" i="30"/>
  <c r="M32" i="10"/>
  <c r="M33" i="10"/>
  <c r="O33" i="10"/>
  <c r="M25" i="10"/>
  <c r="U33" i="14"/>
  <c r="M31" i="10"/>
  <c r="G21" i="13"/>
  <c r="M26" i="13"/>
  <c r="AD38" i="29"/>
  <c r="G102" i="24"/>
  <c r="G82" i="25"/>
  <c r="K89" i="30"/>
  <c r="K32" i="13"/>
  <c r="G30" i="14"/>
  <c r="G20" i="14"/>
  <c r="I35" i="11"/>
  <c r="G35" i="11"/>
  <c r="AL60" i="25"/>
  <c r="K26" i="12"/>
  <c r="K35" i="11"/>
  <c r="K39" i="11"/>
  <c r="G32" i="12"/>
  <c r="K32" i="12"/>
  <c r="G27" i="10"/>
  <c r="E55" i="26"/>
  <c r="D38" i="28"/>
  <c r="D38" i="29"/>
  <c r="K111" i="30"/>
  <c r="G26" i="12"/>
  <c r="K24" i="13"/>
  <c r="Q27" i="14"/>
  <c r="M53" i="26"/>
  <c r="AG66" i="22"/>
  <c r="AI66" i="22"/>
  <c r="K31" i="13"/>
  <c r="S32" i="14"/>
  <c r="S31" i="14"/>
  <c r="AJ46" i="25"/>
  <c r="S24" i="14"/>
  <c r="S27" i="14"/>
  <c r="I21" i="14"/>
  <c r="I31" i="14"/>
  <c r="I32" i="12"/>
  <c r="G32" i="7"/>
  <c r="G24" i="7"/>
  <c r="AJ27" i="24"/>
  <c r="AL27" i="24"/>
  <c r="AJ22" i="24"/>
  <c r="AL22" i="24"/>
  <c r="I33" i="8"/>
  <c r="AG48" i="22"/>
  <c r="AI48" i="22"/>
  <c r="J48" i="3"/>
  <c r="AJ60" i="25"/>
  <c r="AJ78" i="24"/>
  <c r="AL78" i="24"/>
  <c r="AJ95" i="24"/>
  <c r="AL95" i="24"/>
  <c r="K99" i="30"/>
  <c r="AG56" i="22"/>
  <c r="AI56" i="22"/>
  <c r="AJ107" i="20"/>
  <c r="L48" i="32"/>
  <c r="AG88" i="24"/>
  <c r="K43" i="31"/>
  <c r="X12" i="2"/>
  <c r="H24" i="6"/>
  <c r="AK37" i="18"/>
  <c r="AK52" i="18"/>
  <c r="G25" i="9"/>
  <c r="K25" i="9"/>
  <c r="AI101" i="18"/>
  <c r="AK101" i="18"/>
  <c r="AI104" i="18"/>
  <c r="AK104" i="18"/>
  <c r="AI105" i="18"/>
  <c r="AK105" i="18"/>
  <c r="AI106" i="18"/>
  <c r="AK106" i="18"/>
  <c r="AI107" i="18"/>
  <c r="AK107" i="18"/>
  <c r="AI108" i="18"/>
  <c r="AK108" i="18"/>
  <c r="AI109" i="18"/>
  <c r="R110" i="18"/>
  <c r="R116" i="18"/>
  <c r="T110" i="18"/>
  <c r="AI112" i="18"/>
  <c r="AK112" i="18"/>
  <c r="G27" i="9"/>
  <c r="AI128" i="18"/>
  <c r="AK128" i="18"/>
  <c r="AI131" i="18"/>
  <c r="AK131" i="18"/>
  <c r="D134" i="18"/>
  <c r="F134" i="18"/>
  <c r="H134" i="18"/>
  <c r="J134" i="18"/>
  <c r="L134" i="18"/>
  <c r="R134" i="18"/>
  <c r="T134" i="18"/>
  <c r="X134" i="18"/>
  <c r="Z134" i="18"/>
  <c r="Z70" i="21"/>
  <c r="Z77" i="21"/>
  <c r="Z80" i="21"/>
  <c r="Z90" i="21"/>
  <c r="X70" i="21"/>
  <c r="X77" i="21"/>
  <c r="X80" i="21"/>
  <c r="V70" i="21"/>
  <c r="V77" i="21"/>
  <c r="V80" i="21"/>
  <c r="T70" i="21"/>
  <c r="T77" i="21"/>
  <c r="T80" i="21"/>
  <c r="R70" i="21"/>
  <c r="R77" i="21"/>
  <c r="R80" i="21"/>
  <c r="R90" i="21"/>
  <c r="P70" i="21"/>
  <c r="P77" i="21"/>
  <c r="P80" i="21"/>
  <c r="AG80" i="21"/>
  <c r="AG90" i="21"/>
  <c r="AG92" i="21"/>
  <c r="K31" i="9"/>
  <c r="T116" i="18"/>
  <c r="I82" i="25"/>
  <c r="I102" i="24"/>
  <c r="K21" i="13"/>
  <c r="G20" i="13"/>
  <c r="K27" i="14"/>
  <c r="M31" i="13"/>
  <c r="M24" i="13"/>
  <c r="G30" i="13"/>
  <c r="K33" i="14"/>
  <c r="M32" i="13"/>
  <c r="K36" i="12"/>
  <c r="G36" i="12"/>
  <c r="G22" i="7"/>
  <c r="I20" i="14"/>
  <c r="G27" i="14"/>
  <c r="F50" i="2"/>
  <c r="G55" i="26"/>
  <c r="F50" i="27"/>
  <c r="F38" i="29"/>
  <c r="F38" i="28"/>
  <c r="AI14" i="18"/>
  <c r="AK14" i="18"/>
  <c r="G49" i="9"/>
  <c r="I49" i="9"/>
  <c r="I27" i="9"/>
  <c r="I26" i="12"/>
  <c r="I36" i="12"/>
  <c r="AG100" i="24"/>
  <c r="AG102" i="24"/>
  <c r="D90" i="21"/>
  <c r="D92" i="21"/>
  <c r="G33" i="7"/>
  <c r="I25" i="9"/>
  <c r="G31" i="9"/>
  <c r="G25" i="7"/>
  <c r="S30" i="14"/>
  <c r="S33" i="14"/>
  <c r="Q33" i="14"/>
  <c r="Q37" i="14"/>
  <c r="Q40" i="14"/>
  <c r="I30" i="14"/>
  <c r="I24" i="7"/>
  <c r="I32" i="7"/>
  <c r="AJ32" i="24"/>
  <c r="AL32" i="24"/>
  <c r="AI94" i="18"/>
  <c r="AK94" i="18"/>
  <c r="P90" i="21"/>
  <c r="X90" i="21"/>
  <c r="N90" i="21"/>
  <c r="T90" i="21"/>
  <c r="V90" i="21"/>
  <c r="J90" i="21"/>
  <c r="AI130" i="18"/>
  <c r="AK130" i="18"/>
  <c r="G38" i="9"/>
  <c r="AI127" i="18"/>
  <c r="AK127" i="18"/>
  <c r="AI114" i="18"/>
  <c r="AK114" i="18"/>
  <c r="G36" i="9"/>
  <c r="AI113" i="18"/>
  <c r="AK113" i="18"/>
  <c r="G35" i="9"/>
  <c r="G33" i="14"/>
  <c r="AK44" i="18"/>
  <c r="H90" i="21"/>
  <c r="AJ85" i="24"/>
  <c r="AL85" i="24"/>
  <c r="AI123" i="18"/>
  <c r="AK123" i="18"/>
  <c r="F49" i="2"/>
  <c r="F51" i="3"/>
  <c r="F90" i="21"/>
  <c r="F92" i="21"/>
  <c r="AJ110" i="20"/>
  <c r="AL110" i="20"/>
  <c r="R119" i="18"/>
  <c r="AI100" i="18"/>
  <c r="AK100" i="18"/>
  <c r="M21" i="13"/>
  <c r="K82" i="25"/>
  <c r="K102" i="24"/>
  <c r="H122" i="20"/>
  <c r="K37" i="14"/>
  <c r="K40" i="14"/>
  <c r="I33" i="14"/>
  <c r="K30" i="13"/>
  <c r="I27" i="14"/>
  <c r="I22" i="7"/>
  <c r="G37" i="14"/>
  <c r="H38" i="29"/>
  <c r="I25" i="7"/>
  <c r="H50" i="27"/>
  <c r="H38" i="28"/>
  <c r="AI134" i="18"/>
  <c r="AK134" i="18"/>
  <c r="I33" i="7"/>
  <c r="I36" i="9"/>
  <c r="G31" i="7"/>
  <c r="I38" i="9"/>
  <c r="I35" i="9"/>
  <c r="G30" i="7"/>
  <c r="I39" i="9"/>
  <c r="S37" i="14"/>
  <c r="AJ64" i="24"/>
  <c r="AL64" i="24"/>
  <c r="AG59" i="22"/>
  <c r="AJ88" i="24"/>
  <c r="AL88" i="24"/>
  <c r="H33" i="6"/>
  <c r="H32" i="6"/>
  <c r="D33" i="6"/>
  <c r="D32" i="6"/>
  <c r="M82" i="25"/>
  <c r="M102" i="24"/>
  <c r="H92" i="21"/>
  <c r="I42" i="9"/>
  <c r="M30" i="13"/>
  <c r="M33" i="13"/>
  <c r="O33" i="13"/>
  <c r="K33" i="13"/>
  <c r="I37" i="14"/>
  <c r="I40" i="14"/>
  <c r="G33" i="13"/>
  <c r="K20" i="13"/>
  <c r="G27" i="13"/>
  <c r="G21" i="7"/>
  <c r="K26" i="7"/>
  <c r="AG71" i="22"/>
  <c r="AI71" i="22"/>
  <c r="AI59" i="22"/>
  <c r="J38" i="28"/>
  <c r="J38" i="29"/>
  <c r="I55" i="26"/>
  <c r="AJ100" i="24"/>
  <c r="I31" i="7"/>
  <c r="I30" i="7"/>
  <c r="U40" i="14"/>
  <c r="S40" i="14"/>
  <c r="G40" i="14"/>
  <c r="D34" i="6"/>
  <c r="L33" i="6"/>
  <c r="S33" i="6"/>
  <c r="U33" i="6"/>
  <c r="P34" i="6"/>
  <c r="U34" i="6"/>
  <c r="J32" i="6"/>
  <c r="J33" i="6"/>
  <c r="H34" i="6"/>
  <c r="L32" i="6"/>
  <c r="S32" i="6"/>
  <c r="U32" i="6"/>
  <c r="G34" i="10"/>
  <c r="O82" i="25"/>
  <c r="O102" i="24"/>
  <c r="O27" i="13"/>
  <c r="O37" i="13"/>
  <c r="O40" i="13"/>
  <c r="J122" i="20"/>
  <c r="Y23" i="3"/>
  <c r="Y53" i="3"/>
  <c r="K34" i="10"/>
  <c r="G42" i="7"/>
  <c r="J92" i="21"/>
  <c r="AL100" i="24"/>
  <c r="AJ102" i="24"/>
  <c r="AL102" i="24"/>
  <c r="G37" i="13"/>
  <c r="G40" i="13"/>
  <c r="I21" i="7"/>
  <c r="I26" i="7"/>
  <c r="G26" i="7"/>
  <c r="M20" i="13"/>
  <c r="M27" i="13"/>
  <c r="M37" i="13"/>
  <c r="M40" i="13"/>
  <c r="K27" i="13"/>
  <c r="K37" i="13"/>
  <c r="K40" i="13"/>
  <c r="L38" i="28"/>
  <c r="J50" i="27"/>
  <c r="S34" i="6"/>
  <c r="L34" i="6"/>
  <c r="J34" i="6"/>
  <c r="Q82" i="25"/>
  <c r="Q102" i="24"/>
  <c r="L92" i="21"/>
  <c r="M34" i="10"/>
  <c r="R40" i="43"/>
  <c r="R42" i="43"/>
  <c r="J40" i="43"/>
  <c r="J42" i="43"/>
  <c r="J44" i="43"/>
  <c r="N38" i="28"/>
  <c r="L50" i="27"/>
  <c r="K55" i="26"/>
  <c r="S82" i="25"/>
  <c r="S102" i="24"/>
  <c r="N92" i="21"/>
  <c r="L122" i="20"/>
  <c r="I42" i="7"/>
  <c r="P38" i="28"/>
  <c r="M55" i="26"/>
  <c r="U102" i="24"/>
  <c r="P92" i="21"/>
  <c r="R38" i="28"/>
  <c r="N50" i="27"/>
  <c r="W102" i="24"/>
  <c r="R92" i="21"/>
  <c r="N122" i="20"/>
  <c r="O55" i="26"/>
  <c r="AE126" i="16"/>
  <c r="AJ74" i="21"/>
  <c r="AL74" i="21"/>
  <c r="AJ68" i="21"/>
  <c r="AL68" i="21"/>
  <c r="AJ96" i="20"/>
  <c r="AL96" i="20"/>
  <c r="R26" i="11"/>
  <c r="AJ75" i="21"/>
  <c r="AL75" i="21"/>
  <c r="AJ73" i="21"/>
  <c r="AL73" i="21"/>
  <c r="AJ72" i="21"/>
  <c r="AL72" i="21"/>
  <c r="AJ69" i="21"/>
  <c r="AL69" i="21"/>
  <c r="AJ67" i="21"/>
  <c r="AL67" i="21"/>
  <c r="AJ66" i="21"/>
  <c r="AL66" i="21"/>
  <c r="AJ65" i="21"/>
  <c r="AL65" i="21"/>
  <c r="AJ64" i="21"/>
  <c r="AL64" i="21"/>
  <c r="AJ61" i="21"/>
  <c r="AJ62" i="21"/>
  <c r="AL62" i="21"/>
  <c r="AJ54" i="21"/>
  <c r="AJ56" i="21"/>
  <c r="AJ105" i="20"/>
  <c r="AJ104" i="20"/>
  <c r="AL104" i="20"/>
  <c r="AJ103" i="20"/>
  <c r="AL103" i="20"/>
  <c r="AJ102" i="20"/>
  <c r="AL102" i="20"/>
  <c r="AJ99" i="20"/>
  <c r="AL99" i="20"/>
  <c r="AJ98" i="20"/>
  <c r="AL98" i="20"/>
  <c r="AJ97" i="20"/>
  <c r="AL97" i="20"/>
  <c r="AJ95" i="20"/>
  <c r="AL95" i="20"/>
  <c r="AJ94" i="20"/>
  <c r="AL94" i="20"/>
  <c r="AJ92" i="20"/>
  <c r="AL92" i="20"/>
  <c r="AJ91" i="20"/>
  <c r="AL91" i="20"/>
  <c r="AJ90" i="20"/>
  <c r="AL90" i="20"/>
  <c r="AJ84" i="20"/>
  <c r="Y102" i="24"/>
  <c r="T92" i="21"/>
  <c r="P122" i="20"/>
  <c r="T26" i="11"/>
  <c r="T27" i="11"/>
  <c r="V26" i="11"/>
  <c r="V27" i="11"/>
  <c r="T38" i="28"/>
  <c r="P50" i="27"/>
  <c r="AE116" i="16"/>
  <c r="AE114" i="16"/>
  <c r="AE111" i="16"/>
  <c r="AE110" i="16"/>
  <c r="AE109" i="16"/>
  <c r="R27" i="11"/>
  <c r="AE117" i="16"/>
  <c r="AE118" i="16"/>
  <c r="AE122" i="16"/>
  <c r="AE115" i="16"/>
  <c r="AE121" i="16"/>
  <c r="AE113" i="16"/>
  <c r="AE123" i="16"/>
  <c r="AJ86" i="20"/>
  <c r="J53" i="3"/>
  <c r="J57" i="3"/>
  <c r="J61" i="3"/>
  <c r="AD86" i="21"/>
  <c r="AL86" i="21"/>
  <c r="AJ83" i="21"/>
  <c r="AL83" i="21"/>
  <c r="AJ113" i="20"/>
  <c r="AL113" i="20"/>
  <c r="AD116" i="20"/>
  <c r="AJ60" i="21"/>
  <c r="AL60" i="21"/>
  <c r="R30" i="11"/>
  <c r="AA102" i="24"/>
  <c r="V92" i="21"/>
  <c r="R122" i="20"/>
  <c r="V35" i="11"/>
  <c r="V39" i="11"/>
  <c r="T30" i="11"/>
  <c r="V38" i="28"/>
  <c r="Q55" i="26"/>
  <c r="I27" i="10"/>
  <c r="K26" i="10"/>
  <c r="G41" i="7"/>
  <c r="AL70" i="21"/>
  <c r="AD120" i="20"/>
  <c r="AD122" i="20"/>
  <c r="AL116" i="20"/>
  <c r="AE119" i="16"/>
  <c r="AJ86" i="21"/>
  <c r="C43" i="7"/>
  <c r="AJ116" i="20"/>
  <c r="AJ120" i="20"/>
  <c r="I39" i="11"/>
  <c r="G39" i="11"/>
  <c r="AL77" i="21"/>
  <c r="AJ70" i="21"/>
  <c r="X92" i="21"/>
  <c r="T122" i="20"/>
  <c r="M26" i="10"/>
  <c r="M27" i="10"/>
  <c r="O27" i="10"/>
  <c r="B42" i="6"/>
  <c r="X38" i="28"/>
  <c r="R50" i="27"/>
  <c r="K27" i="10"/>
  <c r="K42" i="11"/>
  <c r="AL120" i="20"/>
  <c r="AJ122" i="20"/>
  <c r="AL122" i="20"/>
  <c r="G30" i="10"/>
  <c r="T35" i="11"/>
  <c r="T39" i="11"/>
  <c r="R35" i="11"/>
  <c r="R39" i="11"/>
  <c r="V42" i="11"/>
  <c r="C34" i="7"/>
  <c r="C47" i="7"/>
  <c r="C50" i="7"/>
  <c r="AJ77" i="21"/>
  <c r="AL80" i="21"/>
  <c r="Z92" i="21"/>
  <c r="V122" i="20"/>
  <c r="S55" i="26"/>
  <c r="K43" i="7"/>
  <c r="I41" i="7"/>
  <c r="I43" i="7"/>
  <c r="G43" i="7"/>
  <c r="K30" i="10"/>
  <c r="G35" i="10"/>
  <c r="G39" i="10"/>
  <c r="AD90" i="21"/>
  <c r="AD92" i="21"/>
  <c r="AI103" i="23"/>
  <c r="C37" i="7"/>
  <c r="R42" i="11"/>
  <c r="G42" i="11"/>
  <c r="I42" i="11"/>
  <c r="AJ80" i="21"/>
  <c r="AJ90" i="21"/>
  <c r="AJ92" i="21"/>
  <c r="AL92" i="21"/>
  <c r="J15" i="6"/>
  <c r="X122" i="20"/>
  <c r="O35" i="10"/>
  <c r="O39" i="10"/>
  <c r="O42" i="10"/>
  <c r="M30" i="10"/>
  <c r="M35" i="10"/>
  <c r="M39" i="10"/>
  <c r="M42" i="10"/>
  <c r="T50" i="27"/>
  <c r="AL90" i="21"/>
  <c r="K35" i="10"/>
  <c r="G42" i="10"/>
  <c r="K39" i="10"/>
  <c r="K42" i="10"/>
  <c r="T42" i="11"/>
  <c r="AA13" i="29"/>
  <c r="P51" i="2"/>
  <c r="H61" i="3"/>
  <c r="Z122" i="20"/>
  <c r="AG13" i="29"/>
  <c r="AI13" i="29"/>
  <c r="AL69" i="23"/>
  <c r="AL74" i="23"/>
  <c r="AN74" i="23"/>
  <c r="AL78" i="23"/>
  <c r="AN78" i="23"/>
  <c r="AL92" i="23"/>
  <c r="E96" i="23"/>
  <c r="AL77" i="23"/>
  <c r="AN77" i="23"/>
  <c r="AL76" i="23"/>
  <c r="AN76" i="23"/>
  <c r="AL82" i="23"/>
  <c r="AN82" i="23"/>
  <c r="AL93" i="23"/>
  <c r="AN93" i="23"/>
  <c r="AL73" i="23"/>
  <c r="AN73" i="23"/>
  <c r="AL83" i="23"/>
  <c r="AN83" i="23"/>
  <c r="AL70" i="23"/>
  <c r="AN70" i="23"/>
  <c r="AL75" i="23"/>
  <c r="AN75" i="23"/>
  <c r="AL81" i="23"/>
  <c r="AN81" i="23"/>
  <c r="AD96" i="19"/>
  <c r="AJ96" i="19"/>
  <c r="AL96" i="19"/>
  <c r="AD106" i="19"/>
  <c r="AJ106" i="19"/>
  <c r="AD99" i="19"/>
  <c r="AJ99" i="19"/>
  <c r="AL99" i="19"/>
  <c r="AD93" i="19"/>
  <c r="AJ93" i="19"/>
  <c r="AL93" i="19"/>
  <c r="AD91" i="19"/>
  <c r="AD100" i="19"/>
  <c r="AJ100" i="19"/>
  <c r="AL100" i="19"/>
  <c r="AD105" i="19"/>
  <c r="AJ105" i="19"/>
  <c r="AL105" i="19"/>
  <c r="AD92" i="19"/>
  <c r="AJ92" i="19"/>
  <c r="AL92" i="19"/>
  <c r="AD97" i="19"/>
  <c r="AJ97" i="19"/>
  <c r="AL97" i="19"/>
  <c r="AD103" i="19"/>
  <c r="AJ103" i="19"/>
  <c r="AL103" i="19"/>
  <c r="AD85" i="19"/>
  <c r="AD87" i="19"/>
  <c r="AJ104" i="19"/>
  <c r="AL104" i="19"/>
  <c r="AD98" i="19"/>
  <c r="AJ98" i="19"/>
  <c r="AL98" i="19"/>
  <c r="AJ115" i="19"/>
  <c r="AL115" i="19"/>
  <c r="AD95" i="19"/>
  <c r="AB51" i="2"/>
  <c r="AB34" i="2"/>
  <c r="AB42" i="2"/>
  <c r="AB20" i="2"/>
  <c r="V48" i="2"/>
  <c r="I24" i="30"/>
  <c r="G24" i="30"/>
  <c r="E24" i="30"/>
  <c r="C24" i="30"/>
  <c r="Z138" i="18"/>
  <c r="R138" i="18"/>
  <c r="L138" i="18"/>
  <c r="J138" i="18"/>
  <c r="H138" i="18"/>
  <c r="F138" i="18"/>
  <c r="V50" i="27"/>
  <c r="F45" i="5"/>
  <c r="AJ95" i="19"/>
  <c r="AL95" i="19"/>
  <c r="AD101" i="19"/>
  <c r="C105" i="16"/>
  <c r="AL94" i="23"/>
  <c r="AN94" i="23"/>
  <c r="AJ85" i="19"/>
  <c r="AL85" i="19"/>
  <c r="AL63" i="23"/>
  <c r="AN63" i="23"/>
  <c r="AL83" i="19"/>
  <c r="AJ114" i="19"/>
  <c r="AL114" i="19"/>
  <c r="AD117" i="19"/>
  <c r="AJ117" i="19"/>
  <c r="AL117" i="19"/>
  <c r="D123" i="19"/>
  <c r="AJ91" i="19"/>
  <c r="AL91" i="19"/>
  <c r="AL84" i="23"/>
  <c r="AN84" i="23"/>
  <c r="AF79" i="23"/>
  <c r="AF86" i="23"/>
  <c r="AL71" i="23"/>
  <c r="AN71" i="23"/>
  <c r="AF96" i="23"/>
  <c r="AL96" i="23"/>
  <c r="AN96" i="23"/>
  <c r="P34" i="2"/>
  <c r="H34" i="2"/>
  <c r="H42" i="2"/>
  <c r="AB45" i="2"/>
  <c r="AB55" i="2"/>
  <c r="AB59" i="2"/>
  <c r="X50" i="27"/>
  <c r="P42" i="2"/>
  <c r="AL79" i="23"/>
  <c r="AN79" i="23"/>
  <c r="AJ101" i="19"/>
  <c r="AJ87" i="19"/>
  <c r="F123" i="19"/>
  <c r="AD108" i="19"/>
  <c r="AL87" i="19"/>
  <c r="AJ108" i="19"/>
  <c r="AL108" i="19"/>
  <c r="AL101" i="19"/>
  <c r="AD111" i="19"/>
  <c r="AD121" i="19"/>
  <c r="H123" i="19"/>
  <c r="AG67" i="25"/>
  <c r="AL14" i="19"/>
  <c r="AJ14" i="19"/>
  <c r="AG70" i="25"/>
  <c r="AL70" i="25"/>
  <c r="AL67" i="25"/>
  <c r="AJ111" i="19"/>
  <c r="AL111" i="19"/>
  <c r="J123" i="19"/>
  <c r="AJ67" i="25"/>
  <c r="AD123" i="19"/>
  <c r="AJ70" i="25"/>
  <c r="AG80" i="25"/>
  <c r="L123" i="19"/>
  <c r="AJ121" i="19"/>
  <c r="AL121" i="19"/>
  <c r="AJ123" i="19"/>
  <c r="AL123" i="19"/>
  <c r="AG82" i="25"/>
  <c r="AL82" i="25"/>
  <c r="AL80" i="25"/>
  <c r="AJ80" i="25"/>
  <c r="AJ82" i="25"/>
  <c r="N123" i="19"/>
  <c r="P123" i="19"/>
  <c r="V40" i="2"/>
  <c r="R123" i="19"/>
  <c r="T123" i="19"/>
  <c r="C101" i="30"/>
  <c r="C156" i="30"/>
  <c r="V123" i="19"/>
  <c r="E101" i="30"/>
  <c r="E156" i="30"/>
  <c r="I101" i="30"/>
  <c r="I156" i="30"/>
  <c r="G101" i="30"/>
  <c r="G156" i="30"/>
  <c r="X123" i="19"/>
  <c r="K101" i="30"/>
  <c r="K156" i="30"/>
  <c r="Z123" i="19"/>
  <c r="E43" i="7"/>
  <c r="E34" i="7"/>
  <c r="K101" i="42"/>
  <c r="I101" i="42"/>
  <c r="I200" i="42"/>
  <c r="G101" i="42"/>
  <c r="G210" i="42"/>
  <c r="M16" i="42"/>
  <c r="I256" i="42"/>
  <c r="G256" i="42"/>
  <c r="M198" i="42"/>
  <c r="G205" i="42"/>
  <c r="K256" i="42"/>
  <c r="G200" i="42"/>
  <c r="M238" i="42"/>
  <c r="I205" i="42"/>
  <c r="M83" i="42"/>
  <c r="K210" i="42"/>
  <c r="K205" i="42"/>
  <c r="I210" i="42"/>
  <c r="K200" i="42"/>
  <c r="E37" i="7"/>
  <c r="E47" i="7"/>
  <c r="E50" i="7"/>
  <c r="K259" i="42"/>
  <c r="G259" i="42"/>
  <c r="I259" i="42"/>
  <c r="AD51" i="2"/>
  <c r="AD34" i="2"/>
  <c r="AD42" i="2"/>
  <c r="AE135" i="16"/>
  <c r="Y37" i="3"/>
  <c r="Y45" i="3"/>
  <c r="Y48" i="3"/>
  <c r="Y57" i="3"/>
  <c r="Y61" i="3"/>
  <c r="AE138" i="16"/>
  <c r="H41" i="6"/>
  <c r="D41" i="6"/>
  <c r="N26" i="6"/>
  <c r="N29" i="6"/>
  <c r="N39" i="6"/>
  <c r="N42" i="6"/>
  <c r="L41" i="6"/>
  <c r="S41" i="6"/>
  <c r="U41" i="6"/>
  <c r="H25" i="6"/>
  <c r="H23" i="6"/>
  <c r="H26" i="6"/>
  <c r="D25" i="6"/>
  <c r="L25" i="6"/>
  <c r="S25" i="6"/>
  <c r="D24" i="6"/>
  <c r="D23" i="6"/>
  <c r="D18" i="6"/>
  <c r="D19" i="6"/>
  <c r="D26" i="6"/>
  <c r="D29" i="6"/>
  <c r="D39" i="6"/>
  <c r="D42" i="6"/>
  <c r="W29" i="27"/>
  <c r="S65" i="34"/>
  <c r="K65" i="34"/>
  <c r="Q65" i="34"/>
  <c r="E65" i="34"/>
  <c r="O101" i="42"/>
  <c r="I65" i="34"/>
  <c r="G65" i="34"/>
  <c r="M31" i="34"/>
  <c r="M62" i="34"/>
  <c r="M181" i="42"/>
  <c r="M166" i="42"/>
  <c r="M45" i="34"/>
  <c r="M79" i="42"/>
  <c r="M62" i="42"/>
  <c r="M43" i="34"/>
  <c r="M68" i="42"/>
  <c r="M71" i="42"/>
  <c r="M52" i="42"/>
  <c r="M67" i="42"/>
  <c r="M24" i="42"/>
  <c r="M51" i="42"/>
  <c r="M242" i="42"/>
  <c r="M174" i="42"/>
  <c r="M36" i="42"/>
  <c r="M26" i="42"/>
  <c r="M126" i="42"/>
  <c r="M61" i="42"/>
  <c r="M50" i="42"/>
  <c r="M143" i="42"/>
  <c r="M255" i="42"/>
  <c r="M204" i="42"/>
  <c r="M22" i="34"/>
  <c r="M157" i="42"/>
  <c r="M225" i="42"/>
  <c r="M22" i="42"/>
  <c r="M111" i="42"/>
  <c r="M39" i="42"/>
  <c r="M33" i="42"/>
  <c r="M137" i="42"/>
  <c r="M168" i="42"/>
  <c r="M20" i="42"/>
  <c r="M216" i="42"/>
  <c r="M171" i="42"/>
  <c r="M127" i="42"/>
  <c r="M63" i="42"/>
  <c r="M144" i="42"/>
  <c r="M133" i="42"/>
  <c r="M138" i="42"/>
  <c r="M214" i="42"/>
  <c r="M54" i="42"/>
  <c r="M91" i="42"/>
  <c r="M161" i="42"/>
  <c r="M124" i="42"/>
  <c r="M37" i="42"/>
  <c r="M44" i="42"/>
  <c r="M249" i="42"/>
  <c r="M87" i="42"/>
  <c r="M145" i="42"/>
  <c r="M178" i="42"/>
  <c r="M223" i="42"/>
  <c r="M29" i="34"/>
  <c r="M156" i="42"/>
  <c r="M180" i="42"/>
  <c r="M172" i="42"/>
  <c r="M246" i="42"/>
  <c r="M59" i="42"/>
  <c r="M38" i="34"/>
  <c r="M34" i="34"/>
  <c r="M107" i="42"/>
  <c r="M134" i="42"/>
  <c r="M38" i="42"/>
  <c r="M179" i="42"/>
  <c r="M140" i="42"/>
  <c r="M132" i="42"/>
  <c r="M25" i="42"/>
  <c r="M123" i="42"/>
  <c r="M108" i="42"/>
  <c r="M78" i="42"/>
  <c r="M117" i="42"/>
  <c r="M92" i="42"/>
  <c r="M120" i="42"/>
  <c r="M97" i="42"/>
  <c r="M48" i="42"/>
  <c r="M41" i="34"/>
  <c r="M118" i="42"/>
  <c r="M233" i="42"/>
  <c r="M77" i="42"/>
  <c r="M147" i="42"/>
  <c r="M110" i="42"/>
  <c r="M23" i="42"/>
  <c r="M159" i="42"/>
  <c r="M218" i="42"/>
  <c r="M152" i="42"/>
  <c r="M48" i="34"/>
  <c r="M150" i="42"/>
  <c r="M170" i="42"/>
  <c r="M64" i="42"/>
  <c r="M93" i="42"/>
  <c r="M227" i="42"/>
  <c r="M128" i="42"/>
  <c r="M105" i="42"/>
  <c r="M121" i="42"/>
  <c r="M21" i="42"/>
  <c r="M114" i="42"/>
  <c r="M112" i="42"/>
  <c r="M236" i="42"/>
  <c r="M251" i="42"/>
  <c r="M151" i="42"/>
  <c r="M146" i="42"/>
  <c r="M115" i="42"/>
  <c r="M247" i="42"/>
  <c r="M160" i="42"/>
  <c r="M194" i="42"/>
  <c r="O200" i="42"/>
  <c r="M57" i="34"/>
  <c r="O210" i="42"/>
  <c r="M208" i="42"/>
  <c r="M245" i="42"/>
  <c r="M217" i="42"/>
  <c r="M176" i="42"/>
  <c r="M55" i="42"/>
  <c r="M94" i="42"/>
  <c r="M230" i="42"/>
  <c r="M82" i="42"/>
  <c r="M231" i="42"/>
  <c r="M28" i="42"/>
  <c r="M29" i="42"/>
  <c r="M229" i="42"/>
  <c r="M131" i="42"/>
  <c r="M30" i="34"/>
  <c r="M215" i="42"/>
  <c r="M222" i="42"/>
  <c r="M139" i="42"/>
  <c r="M80" i="42"/>
  <c r="M39" i="34"/>
  <c r="M100" i="42"/>
  <c r="M35" i="34"/>
  <c r="M95" i="42"/>
  <c r="M162" i="42"/>
  <c r="M31" i="42"/>
  <c r="M41" i="42"/>
  <c r="M224" i="42"/>
  <c r="M165" i="42"/>
  <c r="M252" i="42"/>
  <c r="M253" i="42"/>
  <c r="M19" i="34"/>
  <c r="M20" i="34"/>
  <c r="M81" i="42"/>
  <c r="M234" i="42"/>
  <c r="M34" i="42"/>
  <c r="M109" i="42"/>
  <c r="M56" i="42"/>
  <c r="M129" i="42"/>
  <c r="M169" i="42"/>
  <c r="M53" i="34"/>
  <c r="M104" i="42"/>
  <c r="O186" i="42"/>
  <c r="M88" i="42"/>
  <c r="M57" i="42"/>
  <c r="M47" i="42"/>
  <c r="M148" i="42"/>
  <c r="M154" i="42"/>
  <c r="M89" i="42"/>
  <c r="M32" i="42"/>
  <c r="M72" i="42"/>
  <c r="M232" i="42"/>
  <c r="M49" i="42"/>
  <c r="M235" i="42"/>
  <c r="M135" i="42"/>
  <c r="M66" i="42"/>
  <c r="M73" i="42"/>
  <c r="M237" i="42"/>
  <c r="M195" i="42"/>
  <c r="M221" i="42"/>
  <c r="M254" i="42"/>
  <c r="M177" i="42"/>
  <c r="M42" i="42"/>
  <c r="M65" i="42"/>
  <c r="M158" i="42"/>
  <c r="M17" i="42"/>
  <c r="M220" i="42"/>
  <c r="M76" i="42"/>
  <c r="M122" i="42"/>
  <c r="M53" i="42"/>
  <c r="M58" i="42"/>
  <c r="M46" i="42"/>
  <c r="M69" i="42"/>
  <c r="M243" i="42"/>
  <c r="M21" i="34"/>
  <c r="M40" i="42"/>
  <c r="M51" i="34"/>
  <c r="M167" i="42"/>
  <c r="M23" i="34"/>
  <c r="M30" i="42"/>
  <c r="M173" i="42"/>
  <c r="M163" i="42"/>
  <c r="M90" i="42"/>
  <c r="M226" i="42"/>
  <c r="M155" i="42"/>
  <c r="M49" i="34"/>
  <c r="M106" i="42"/>
  <c r="M74" i="42"/>
  <c r="M56" i="34"/>
  <c r="M27" i="42"/>
  <c r="M43" i="42"/>
  <c r="M228" i="42"/>
  <c r="M141" i="42"/>
  <c r="M45" i="42"/>
  <c r="M35" i="42"/>
  <c r="M85" i="42"/>
  <c r="M19" i="42"/>
  <c r="M70" i="42"/>
  <c r="M119" i="42"/>
  <c r="M239" i="42"/>
  <c r="M96" i="42"/>
  <c r="M164" i="42"/>
  <c r="M136" i="42"/>
  <c r="M203" i="42"/>
  <c r="O205" i="42"/>
  <c r="M63" i="34"/>
  <c r="M18" i="42"/>
  <c r="M244" i="42"/>
  <c r="M50" i="34"/>
  <c r="M75" i="42"/>
  <c r="M209" i="42"/>
  <c r="M125" i="42"/>
  <c r="M130" i="42"/>
  <c r="M142" i="42"/>
  <c r="M98" i="42"/>
  <c r="M116" i="42"/>
  <c r="M153" i="42"/>
  <c r="M213" i="42"/>
  <c r="O256" i="42"/>
  <c r="M248" i="42"/>
  <c r="M26" i="34"/>
  <c r="M52" i="34"/>
  <c r="M219" i="42"/>
  <c r="M241" i="42"/>
  <c r="M60" i="42"/>
  <c r="AL15" i="23"/>
  <c r="AN15" i="23"/>
  <c r="M205" i="42"/>
  <c r="M210" i="42"/>
  <c r="M101" i="42"/>
  <c r="M186" i="42"/>
  <c r="M65" i="34"/>
  <c r="M256" i="42"/>
  <c r="O259" i="42"/>
  <c r="M200" i="42"/>
  <c r="R48" i="2"/>
  <c r="R30" i="2"/>
  <c r="R37" i="2"/>
  <c r="R36" i="2"/>
  <c r="R28" i="2"/>
  <c r="R38" i="2"/>
  <c r="R50" i="2"/>
  <c r="R41" i="2"/>
  <c r="R33" i="2"/>
  <c r="R32" i="2"/>
  <c r="R31" i="2"/>
  <c r="R29" i="2"/>
  <c r="R26" i="2"/>
  <c r="R24" i="2"/>
  <c r="R19" i="2"/>
  <c r="M259" i="42"/>
  <c r="X48" i="2"/>
  <c r="R49" i="2"/>
  <c r="R51" i="2"/>
  <c r="R25" i="2"/>
  <c r="R34" i="2"/>
  <c r="R42" i="2"/>
  <c r="AB134" i="16"/>
  <c r="AL86" i="23"/>
  <c r="AN86" i="23"/>
  <c r="AH134" i="16"/>
  <c r="N50" i="2"/>
  <c r="N52" i="3"/>
  <c r="N49" i="2"/>
  <c r="N51" i="3"/>
  <c r="N40" i="2"/>
  <c r="N37" i="2"/>
  <c r="N40" i="3"/>
  <c r="N19" i="2"/>
  <c r="N22" i="3"/>
  <c r="N18" i="2"/>
  <c r="N21" i="3"/>
  <c r="T21" i="3"/>
  <c r="N20" i="3"/>
  <c r="N18" i="3"/>
  <c r="N17" i="3"/>
  <c r="N23" i="3"/>
  <c r="G24" i="8"/>
  <c r="AD21" i="3"/>
  <c r="AF21" i="3"/>
  <c r="X40" i="2"/>
  <c r="AI40" i="2"/>
  <c r="N43" i="3"/>
  <c r="T43" i="3"/>
  <c r="T51" i="3"/>
  <c r="N53" i="3"/>
  <c r="N42" i="2"/>
  <c r="N51" i="2"/>
  <c r="N20" i="2"/>
  <c r="I24" i="8"/>
  <c r="N45" i="3"/>
  <c r="N48" i="3"/>
  <c r="AG40" i="2"/>
  <c r="G40" i="8"/>
  <c r="AD51" i="3"/>
  <c r="G32" i="8"/>
  <c r="AD43" i="3"/>
  <c r="AF43" i="3"/>
  <c r="N45" i="2"/>
  <c r="N55" i="2"/>
  <c r="N57" i="3"/>
  <c r="I40" i="8"/>
  <c r="I32" i="8"/>
  <c r="AF51" i="3"/>
  <c r="O138" i="16"/>
  <c r="O142" i="16"/>
  <c r="I138" i="16"/>
  <c r="I142" i="16"/>
  <c r="K138" i="16"/>
  <c r="K142" i="16"/>
  <c r="S138" i="16"/>
  <c r="G138" i="16"/>
  <c r="E138" i="16"/>
  <c r="J50" i="2"/>
  <c r="J49" i="2"/>
  <c r="J51" i="2"/>
  <c r="V41" i="2"/>
  <c r="J30" i="2"/>
  <c r="J26" i="2"/>
  <c r="J32" i="2"/>
  <c r="G119" i="16"/>
  <c r="E119" i="16"/>
  <c r="J37" i="2"/>
  <c r="J31" i="2"/>
  <c r="J29" i="2"/>
  <c r="J28" i="2"/>
  <c r="J33" i="2"/>
  <c r="J24" i="2"/>
  <c r="J41" i="2"/>
  <c r="X41" i="2"/>
  <c r="AI41" i="2"/>
  <c r="J25" i="2"/>
  <c r="G128" i="16"/>
  <c r="E128" i="16"/>
  <c r="J34" i="2"/>
  <c r="AG41" i="2"/>
  <c r="J36" i="2"/>
  <c r="J19" i="2"/>
  <c r="J38" i="2"/>
  <c r="J18" i="2"/>
  <c r="G131" i="16"/>
  <c r="G142" i="16"/>
  <c r="E131" i="16"/>
  <c r="E142" i="16"/>
  <c r="J20" i="2"/>
  <c r="J42" i="2"/>
  <c r="J45" i="2"/>
  <c r="J55" i="2"/>
  <c r="J59" i="2"/>
  <c r="F38" i="2"/>
  <c r="F41" i="3"/>
  <c r="T41" i="3"/>
  <c r="F37" i="2"/>
  <c r="F36" i="2"/>
  <c r="F33" i="2"/>
  <c r="F32" i="2"/>
  <c r="F31" i="2"/>
  <c r="F29" i="2"/>
  <c r="F19" i="2"/>
  <c r="F17" i="2"/>
  <c r="F15" i="2"/>
  <c r="F18" i="3"/>
  <c r="T18" i="3"/>
  <c r="X29" i="2"/>
  <c r="F32" i="3"/>
  <c r="T32" i="3"/>
  <c r="AD32" i="3"/>
  <c r="AF32" i="3"/>
  <c r="X33" i="2"/>
  <c r="AI33" i="2"/>
  <c r="F36" i="3"/>
  <c r="T36" i="3"/>
  <c r="AD36" i="3"/>
  <c r="AF36" i="3"/>
  <c r="G31" i="8"/>
  <c r="AD41" i="3"/>
  <c r="AF41" i="3"/>
  <c r="F22" i="3"/>
  <c r="T22" i="3"/>
  <c r="X31" i="2"/>
  <c r="F34" i="3"/>
  <c r="T34" i="3"/>
  <c r="AD34" i="3"/>
  <c r="AF34" i="3"/>
  <c r="X37" i="2"/>
  <c r="AI37" i="2"/>
  <c r="F40" i="3"/>
  <c r="T40" i="3"/>
  <c r="AD40" i="3"/>
  <c r="AF40" i="3"/>
  <c r="X28" i="2"/>
  <c r="F31" i="3"/>
  <c r="T31" i="3"/>
  <c r="AD31" i="3"/>
  <c r="AF31" i="3"/>
  <c r="X32" i="2"/>
  <c r="F35" i="3"/>
  <c r="T35" i="3"/>
  <c r="AD35" i="3"/>
  <c r="AF35" i="3"/>
  <c r="F20" i="3"/>
  <c r="T20" i="3"/>
  <c r="X30" i="2"/>
  <c r="F33" i="3"/>
  <c r="T33" i="3"/>
  <c r="AD33" i="3"/>
  <c r="AF33" i="3"/>
  <c r="X36" i="2"/>
  <c r="F39" i="3"/>
  <c r="T39" i="3"/>
  <c r="X19" i="2"/>
  <c r="AI19" i="2"/>
  <c r="X38" i="2"/>
  <c r="AI38" i="2"/>
  <c r="X17" i="2"/>
  <c r="AI17" i="2"/>
  <c r="F16" i="2"/>
  <c r="F24" i="2"/>
  <c r="F27" i="3"/>
  <c r="F25" i="2"/>
  <c r="F28" i="3"/>
  <c r="T28" i="3"/>
  <c r="AD28" i="3"/>
  <c r="AF28" i="3"/>
  <c r="F52" i="3"/>
  <c r="AG36" i="2"/>
  <c r="AI36" i="2"/>
  <c r="AG32" i="2"/>
  <c r="AI32" i="2"/>
  <c r="AG31" i="2"/>
  <c r="AI31" i="2"/>
  <c r="AG30" i="2"/>
  <c r="AI30" i="2"/>
  <c r="AG29" i="2"/>
  <c r="AI29" i="2"/>
  <c r="AG28" i="2"/>
  <c r="AI28" i="2"/>
  <c r="I31" i="8"/>
  <c r="AG33" i="2"/>
  <c r="AD18" i="3"/>
  <c r="AF18" i="3"/>
  <c r="G21" i="8"/>
  <c r="F53" i="3"/>
  <c r="T52" i="3"/>
  <c r="AD52" i="3"/>
  <c r="AD53" i="3"/>
  <c r="AF53" i="3"/>
  <c r="T27" i="3"/>
  <c r="AD20" i="3"/>
  <c r="AF20" i="3"/>
  <c r="G23" i="8"/>
  <c r="AG37" i="2"/>
  <c r="AD22" i="3"/>
  <c r="G25" i="8"/>
  <c r="F19" i="3"/>
  <c r="T19" i="3"/>
  <c r="AD39" i="3"/>
  <c r="AF39" i="3"/>
  <c r="G30" i="8"/>
  <c r="F51" i="2"/>
  <c r="X24" i="2"/>
  <c r="AI24" i="2"/>
  <c r="AG19" i="2"/>
  <c r="X50" i="2"/>
  <c r="X49" i="2"/>
  <c r="AG49" i="2"/>
  <c r="AG38" i="2"/>
  <c r="X25" i="2"/>
  <c r="AI25" i="2"/>
  <c r="AG17" i="2"/>
  <c r="X16" i="2"/>
  <c r="AI16" i="2"/>
  <c r="AI50" i="2"/>
  <c r="AI49" i="2"/>
  <c r="X51" i="2"/>
  <c r="I23" i="8"/>
  <c r="I30" i="8"/>
  <c r="I25" i="8"/>
  <c r="I21" i="8"/>
  <c r="I31" i="9"/>
  <c r="AD27" i="3"/>
  <c r="AF27" i="3"/>
  <c r="G22" i="8"/>
  <c r="AD19" i="3"/>
  <c r="AF19" i="3"/>
  <c r="G41" i="8"/>
  <c r="T53" i="3"/>
  <c r="AG24" i="2"/>
  <c r="AG50" i="2"/>
  <c r="AG25" i="2"/>
  <c r="AG16" i="2"/>
  <c r="Q138" i="16"/>
  <c r="Q142" i="16"/>
  <c r="K42" i="8"/>
  <c r="I41" i="8"/>
  <c r="I42" i="8"/>
  <c r="I22" i="8"/>
  <c r="G42" i="8"/>
  <c r="AF52" i="3"/>
  <c r="AE128" i="16"/>
  <c r="J25" i="6"/>
  <c r="L24" i="6"/>
  <c r="S24" i="6"/>
  <c r="U24" i="6"/>
  <c r="J24" i="6"/>
  <c r="L23" i="6"/>
  <c r="S23" i="6"/>
  <c r="U23" i="6"/>
  <c r="J23" i="6"/>
  <c r="J19" i="6"/>
  <c r="L15" i="6"/>
  <c r="H15" i="6"/>
  <c r="L14" i="6"/>
  <c r="H14" i="6"/>
  <c r="P14" i="6"/>
  <c r="S26" i="6"/>
  <c r="U26" i="6"/>
  <c r="J26" i="6"/>
  <c r="J29" i="6"/>
  <c r="J39" i="6"/>
  <c r="L26" i="6"/>
  <c r="AG48" i="2"/>
  <c r="AB126" i="16"/>
  <c r="AB125" i="16"/>
  <c r="V12" i="2"/>
  <c r="P12" i="2"/>
  <c r="N12" i="2"/>
  <c r="L12" i="2"/>
  <c r="J12" i="2"/>
  <c r="H12" i="2"/>
  <c r="AA14" i="3"/>
  <c r="X11" i="2"/>
  <c r="N11" i="2"/>
  <c r="J11" i="2"/>
  <c r="R11" i="2"/>
  <c r="AG51" i="2"/>
  <c r="AI51" i="2"/>
  <c r="C119" i="16"/>
  <c r="C128" i="16"/>
  <c r="AH125" i="16"/>
  <c r="AJ125" i="16"/>
  <c r="AH126" i="16"/>
  <c r="AJ126" i="16"/>
  <c r="R12" i="2"/>
  <c r="F14" i="2"/>
  <c r="X14" i="2"/>
  <c r="F17" i="3"/>
  <c r="F20" i="2"/>
  <c r="F23" i="3"/>
  <c r="T17" i="3"/>
  <c r="C131" i="16"/>
  <c r="G20" i="8"/>
  <c r="T23" i="3"/>
  <c r="G26" i="8"/>
  <c r="K26" i="8"/>
  <c r="I20" i="8"/>
  <c r="I26" i="8"/>
  <c r="H20" i="2"/>
  <c r="H45" i="2"/>
  <c r="H55" i="2"/>
  <c r="H59" i="2"/>
  <c r="C16" i="17"/>
  <c r="AA12" i="22"/>
  <c r="AA74" i="22"/>
  <c r="C16" i="16"/>
  <c r="AB16" i="17"/>
  <c r="C143" i="17"/>
  <c r="AB16" i="16"/>
  <c r="AH16" i="16"/>
  <c r="AJ16" i="16"/>
  <c r="D74" i="22"/>
  <c r="N59" i="2"/>
  <c r="X57" i="2"/>
  <c r="N61" i="3"/>
  <c r="G38" i="12"/>
  <c r="I38" i="12"/>
  <c r="K39" i="12"/>
  <c r="G144" i="16"/>
  <c r="E143" i="17"/>
  <c r="I39" i="12"/>
  <c r="G39" i="12"/>
  <c r="G49" i="7"/>
  <c r="I144" i="16"/>
  <c r="F74" i="22"/>
  <c r="G143" i="17"/>
  <c r="I49" i="7"/>
  <c r="K144" i="16"/>
  <c r="I143" i="17"/>
  <c r="Z12" i="37"/>
  <c r="Z46" i="37"/>
  <c r="B46" i="37"/>
  <c r="K143" i="17"/>
  <c r="H74" i="22"/>
  <c r="D46" i="37"/>
  <c r="AH16" i="26"/>
  <c r="AJ16" i="26"/>
  <c r="AE55" i="26"/>
  <c r="AH55" i="26"/>
  <c r="AJ55" i="26"/>
  <c r="S44" i="5"/>
  <c r="F46" i="37"/>
  <c r="S45" i="5"/>
  <c r="U44" i="5"/>
  <c r="P45" i="5"/>
  <c r="J74" i="22"/>
  <c r="H46" i="37"/>
  <c r="U45" i="5"/>
  <c r="AG12" i="22"/>
  <c r="AG74" i="22"/>
  <c r="AI57" i="2"/>
  <c r="AE16" i="17"/>
  <c r="AH16" i="17"/>
  <c r="AJ16" i="17"/>
  <c r="AD74" i="22"/>
  <c r="AA59" i="3"/>
  <c r="L74" i="22"/>
  <c r="J46" i="37"/>
  <c r="AI74" i="22"/>
  <c r="AI12" i="22"/>
  <c r="AG57" i="2"/>
  <c r="N74" i="22"/>
  <c r="L46" i="37"/>
  <c r="Z16" i="43"/>
  <c r="L16" i="43"/>
  <c r="L44" i="43"/>
  <c r="L37" i="29"/>
  <c r="L38" i="29"/>
  <c r="AA17" i="29"/>
  <c r="AA28" i="29"/>
  <c r="AA37" i="29"/>
  <c r="AA38" i="29"/>
  <c r="AG38" i="29"/>
  <c r="AI38" i="29"/>
  <c r="P74" i="22"/>
  <c r="N46" i="37"/>
  <c r="N38" i="29"/>
  <c r="AG16" i="29"/>
  <c r="AI16" i="29"/>
  <c r="H18" i="6"/>
  <c r="L18" i="6"/>
  <c r="R74" i="22"/>
  <c r="P46" i="37"/>
  <c r="H19" i="6"/>
  <c r="H29" i="6"/>
  <c r="H39" i="6"/>
  <c r="H42" i="6"/>
  <c r="AG17" i="29"/>
  <c r="AI17" i="29"/>
  <c r="T74" i="22"/>
  <c r="R46" i="37"/>
  <c r="T46" i="37"/>
  <c r="V46" i="37"/>
  <c r="P38" i="29"/>
  <c r="L19" i="6"/>
  <c r="L29" i="6"/>
  <c r="AG28" i="29"/>
  <c r="AI28" i="29"/>
  <c r="X46" i="37"/>
  <c r="V74" i="22"/>
  <c r="L39" i="6"/>
  <c r="AG37" i="29"/>
  <c r="AI37" i="29"/>
  <c r="L59" i="3"/>
  <c r="L61" i="3"/>
  <c r="X74" i="22"/>
  <c r="R38" i="29"/>
  <c r="L42" i="6"/>
  <c r="AG16" i="28"/>
  <c r="AG17" i="28"/>
  <c r="P19" i="6"/>
  <c r="P29" i="6"/>
  <c r="AD17" i="28"/>
  <c r="AD28" i="28"/>
  <c r="L59" i="2"/>
  <c r="AG28" i="28"/>
  <c r="AI28" i="28"/>
  <c r="AD37" i="28"/>
  <c r="AI17" i="28"/>
  <c r="AI16" i="28"/>
  <c r="P39" i="6"/>
  <c r="S29" i="6"/>
  <c r="U29" i="6"/>
  <c r="S18" i="6"/>
  <c r="T38" i="29"/>
  <c r="P42" i="6"/>
  <c r="S39" i="6"/>
  <c r="S42" i="6"/>
  <c r="S19" i="6"/>
  <c r="U19" i="6"/>
  <c r="U18" i="6"/>
  <c r="AG37" i="28"/>
  <c r="AI37" i="28"/>
  <c r="AD38" i="28"/>
  <c r="AG38" i="28"/>
  <c r="AI38" i="28"/>
  <c r="U42" i="6"/>
  <c r="V38" i="29"/>
  <c r="U39" i="6"/>
  <c r="AE21" i="16"/>
  <c r="AI19" i="18"/>
  <c r="AK19" i="18"/>
  <c r="AE21" i="17"/>
  <c r="AF24" i="18"/>
  <c r="AF28" i="18"/>
  <c r="AD14" i="2"/>
  <c r="J41" i="6"/>
  <c r="J42" i="6"/>
  <c r="X38" i="29"/>
  <c r="AD16" i="15"/>
  <c r="AD21" i="15"/>
  <c r="AE26" i="16"/>
  <c r="AE26" i="17"/>
  <c r="AE30" i="17"/>
  <c r="AE57" i="17"/>
  <c r="AE105" i="17"/>
  <c r="AF54" i="18"/>
  <c r="AF96" i="18"/>
  <c r="AF119" i="18"/>
  <c r="AA17" i="3"/>
  <c r="AI24" i="18"/>
  <c r="F42" i="6"/>
  <c r="AH16" i="15"/>
  <c r="AJ16" i="15"/>
  <c r="AH21" i="15"/>
  <c r="AJ21" i="15"/>
  <c r="AD25" i="15"/>
  <c r="AH25" i="15"/>
  <c r="AJ25" i="15"/>
  <c r="AE30" i="16"/>
  <c r="AE57" i="16"/>
  <c r="AK24" i="18"/>
  <c r="AI28" i="18"/>
  <c r="AI14" i="2"/>
  <c r="AD20" i="2"/>
  <c r="AG14" i="2"/>
  <c r="AD17" i="3"/>
  <c r="AA23" i="3"/>
  <c r="AA48" i="3"/>
  <c r="AA57" i="3"/>
  <c r="AA61" i="3"/>
  <c r="AE131" i="17"/>
  <c r="AF138" i="18"/>
  <c r="AD55" i="15"/>
  <c r="AE105" i="16"/>
  <c r="AF140" i="18"/>
  <c r="AF17" i="3"/>
  <c r="AD23" i="3"/>
  <c r="AI54" i="18"/>
  <c r="AK28" i="18"/>
  <c r="AE141" i="17"/>
  <c r="AD45" i="2"/>
  <c r="AE131" i="16"/>
  <c r="AD55" i="2"/>
  <c r="AI96" i="18"/>
  <c r="AK96" i="18"/>
  <c r="AK54" i="18"/>
  <c r="AE143" i="17"/>
  <c r="AF23" i="3"/>
  <c r="AE142" i="16"/>
  <c r="AD59" i="2"/>
  <c r="AE144" i="16"/>
  <c r="Z24" i="43"/>
  <c r="Z30" i="43"/>
  <c r="Z31" i="43"/>
  <c r="Z32" i="43"/>
  <c r="Z29" i="43"/>
  <c r="Z34" i="43"/>
  <c r="Z35" i="43"/>
  <c r="Z25" i="43"/>
  <c r="Z28" i="43"/>
  <c r="Z22" i="43"/>
  <c r="Z33" i="43"/>
  <c r="N42" i="43"/>
  <c r="N44" i="43"/>
  <c r="Z20" i="43"/>
  <c r="P44" i="43"/>
  <c r="Z36" i="43"/>
  <c r="Z42" i="43"/>
  <c r="Z44" i="43"/>
  <c r="R44" i="43"/>
  <c r="T44" i="43"/>
  <c r="F26" i="2"/>
  <c r="X26" i="2"/>
  <c r="X34" i="2"/>
  <c r="G34" i="9"/>
  <c r="AI102" i="18"/>
  <c r="AK102" i="18"/>
  <c r="V44" i="43"/>
  <c r="X44" i="43"/>
  <c r="K43" i="9"/>
  <c r="K47" i="9"/>
  <c r="K50" i="9"/>
  <c r="G43" i="9"/>
  <c r="G47" i="9"/>
  <c r="G50" i="9"/>
  <c r="W119" i="16"/>
  <c r="W128" i="16"/>
  <c r="W131" i="16"/>
  <c r="AI34" i="2"/>
  <c r="X42" i="2"/>
  <c r="X110" i="18"/>
  <c r="X116" i="18"/>
  <c r="X119" i="18"/>
  <c r="X138" i="18"/>
  <c r="F34" i="2"/>
  <c r="F42" i="2"/>
  <c r="F45" i="2"/>
  <c r="F29" i="3"/>
  <c r="AI119" i="18"/>
  <c r="AK119" i="18"/>
  <c r="AI26" i="2"/>
  <c r="AG26" i="2"/>
  <c r="AG34" i="2"/>
  <c r="AG42" i="2"/>
  <c r="I34" i="9"/>
  <c r="I43" i="9"/>
  <c r="I47" i="9"/>
  <c r="I50" i="9"/>
  <c r="G29" i="7"/>
  <c r="AI110" i="18"/>
  <c r="F55" i="2"/>
  <c r="F59" i="2"/>
  <c r="AI42" i="2"/>
  <c r="AI140" i="18"/>
  <c r="AK140" i="18"/>
  <c r="W119" i="17"/>
  <c r="W128" i="17"/>
  <c r="W131" i="17"/>
  <c r="W141" i="17"/>
  <c r="F37" i="3"/>
  <c r="F45" i="3"/>
  <c r="F48" i="3"/>
  <c r="F57" i="3"/>
  <c r="T29" i="3"/>
  <c r="AK110" i="18"/>
  <c r="AI116" i="18"/>
  <c r="AK116" i="18"/>
  <c r="I29" i="7"/>
  <c r="I34" i="7"/>
  <c r="K34" i="7"/>
  <c r="G34" i="7"/>
  <c r="AI138" i="18"/>
  <c r="AK138" i="18"/>
  <c r="AD29" i="3"/>
  <c r="T37" i="3"/>
  <c r="I37" i="7"/>
  <c r="I47" i="7"/>
  <c r="I50" i="7"/>
  <c r="G47" i="7"/>
  <c r="G50" i="7"/>
  <c r="G37" i="7"/>
  <c r="K37" i="7"/>
  <c r="K47" i="7"/>
  <c r="K50" i="7"/>
  <c r="G29" i="8"/>
  <c r="T45" i="3"/>
  <c r="T48" i="3"/>
  <c r="T57" i="3"/>
  <c r="AF29" i="3"/>
  <c r="AD37" i="3"/>
  <c r="AD45" i="3"/>
  <c r="AF37" i="3"/>
  <c r="K34" i="8"/>
  <c r="K46" i="8"/>
  <c r="I29" i="8"/>
  <c r="I34" i="8"/>
  <c r="G34" i="8"/>
  <c r="AF45" i="3"/>
  <c r="AD48" i="3"/>
  <c r="G46" i="8"/>
  <c r="G37" i="8"/>
  <c r="I46" i="8"/>
  <c r="I37" i="8"/>
  <c r="K37" i="8"/>
  <c r="AD57" i="3"/>
  <c r="AF48" i="3"/>
  <c r="AF57" i="3"/>
  <c r="D24" i="18"/>
  <c r="D28" i="18"/>
  <c r="D14" i="2"/>
  <c r="Y141" i="17"/>
  <c r="D54" i="18"/>
  <c r="D96" i="18"/>
  <c r="D119" i="18"/>
  <c r="D138" i="18"/>
  <c r="D140" i="18"/>
  <c r="F140" i="18"/>
  <c r="T59" i="3"/>
  <c r="F61" i="3"/>
  <c r="H140" i="18"/>
  <c r="G48" i="8"/>
  <c r="AD59" i="3"/>
  <c r="T61" i="3"/>
  <c r="G49" i="8"/>
  <c r="K49" i="8"/>
  <c r="J140" i="18"/>
  <c r="AF59" i="3"/>
  <c r="AD61" i="3"/>
  <c r="AF61" i="3"/>
  <c r="I48" i="8"/>
  <c r="I49" i="8"/>
  <c r="AF20" i="23"/>
  <c r="AL20" i="23"/>
  <c r="AN20" i="23"/>
  <c r="E23" i="23"/>
  <c r="P15" i="2"/>
  <c r="L140" i="18"/>
  <c r="E33" i="23"/>
  <c r="E65" i="23"/>
  <c r="E89" i="23"/>
  <c r="E101" i="23"/>
  <c r="E103" i="23"/>
  <c r="G103" i="23"/>
  <c r="I103" i="23"/>
  <c r="AF23" i="23"/>
  <c r="AF33" i="23"/>
  <c r="R29" i="15"/>
  <c r="K103" i="23"/>
  <c r="M103" i="23"/>
  <c r="R15" i="2"/>
  <c r="AL23" i="23"/>
  <c r="AN23" i="23"/>
  <c r="R36" i="15"/>
  <c r="R55" i="15"/>
  <c r="X29" i="15"/>
  <c r="O103" i="23"/>
  <c r="AH29" i="15"/>
  <c r="AJ29" i="15"/>
  <c r="X36" i="15"/>
  <c r="X15" i="2"/>
  <c r="AL33" i="23"/>
  <c r="AH36" i="15"/>
  <c r="AJ36" i="15"/>
  <c r="X55" i="15"/>
  <c r="AH55" i="15"/>
  <c r="AJ55" i="15"/>
  <c r="AN33" i="23"/>
  <c r="AI15" i="2"/>
  <c r="AG15" i="2"/>
  <c r="Q103" i="23"/>
  <c r="S103" i="23"/>
  <c r="AB117" i="19"/>
  <c r="AB121" i="19"/>
  <c r="AB123" i="19"/>
  <c r="N24" i="18"/>
  <c r="N28" i="18"/>
  <c r="N37" i="18"/>
  <c r="N44" i="18"/>
  <c r="N52" i="18"/>
  <c r="N54" i="18"/>
  <c r="N92" i="18"/>
  <c r="N96" i="18"/>
  <c r="M143" i="17"/>
  <c r="O143" i="17"/>
  <c r="Q143" i="17"/>
  <c r="M142" i="16"/>
  <c r="M144" i="16"/>
  <c r="O144" i="16"/>
  <c r="Q144" i="16"/>
  <c r="N110" i="18"/>
  <c r="N116" i="18"/>
  <c r="N134" i="18"/>
  <c r="N119" i="18"/>
  <c r="N138" i="18"/>
  <c r="N140" i="18"/>
  <c r="P140" i="18"/>
  <c r="R140" i="18"/>
  <c r="V20" i="15"/>
  <c r="V18" i="15"/>
  <c r="V16" i="15"/>
  <c r="V17" i="15"/>
  <c r="V19" i="15"/>
  <c r="T24" i="18"/>
  <c r="T28" i="18"/>
  <c r="D21" i="15"/>
  <c r="D25" i="15"/>
  <c r="D55" i="15"/>
  <c r="T54" i="18"/>
  <c r="T96" i="18"/>
  <c r="T119" i="18"/>
  <c r="T138" i="18"/>
  <c r="T140" i="18"/>
  <c r="V21" i="15"/>
  <c r="V25" i="15"/>
  <c r="V55" i="15"/>
  <c r="S26" i="17"/>
  <c r="S30" i="17"/>
  <c r="S57" i="17"/>
  <c r="S26" i="16"/>
  <c r="S105" i="17"/>
  <c r="S131" i="17"/>
  <c r="S141" i="17"/>
  <c r="S143" i="17"/>
  <c r="S30" i="16"/>
  <c r="S57" i="16"/>
  <c r="U61" i="23"/>
  <c r="U42" i="25"/>
  <c r="U46" i="25"/>
  <c r="U70" i="25"/>
  <c r="U80" i="25"/>
  <c r="U82" i="25"/>
  <c r="W82" i="25"/>
  <c r="Y82" i="25"/>
  <c r="AA82" i="25"/>
  <c r="AF37" i="23"/>
  <c r="AF61" i="23"/>
  <c r="R18" i="2"/>
  <c r="S101" i="16"/>
  <c r="S105" i="16"/>
  <c r="S131" i="16"/>
  <c r="S142" i="16"/>
  <c r="S144" i="16"/>
  <c r="U65" i="23"/>
  <c r="U89" i="23"/>
  <c r="U101" i="23"/>
  <c r="U103" i="23"/>
  <c r="W103" i="23"/>
  <c r="AF65" i="23"/>
  <c r="AF89" i="23"/>
  <c r="AF101" i="23"/>
  <c r="AL101" i="23"/>
  <c r="X18" i="2"/>
  <c r="X20" i="2"/>
  <c r="R20" i="2"/>
  <c r="R45" i="2"/>
  <c r="R55" i="2"/>
  <c r="R59" i="2"/>
  <c r="P20" i="2"/>
  <c r="P45" i="2"/>
  <c r="P55" i="2"/>
  <c r="AL37" i="23"/>
  <c r="Y103" i="23"/>
  <c r="AF103" i="23"/>
  <c r="AN103" i="23"/>
  <c r="AI18" i="2"/>
  <c r="AG18" i="2"/>
  <c r="AG20" i="2"/>
  <c r="AL61" i="23"/>
  <c r="AN61" i="23"/>
  <c r="AN37" i="23"/>
  <c r="AL103" i="23"/>
  <c r="AN101" i="23"/>
  <c r="X45" i="2"/>
  <c r="AI20" i="2"/>
  <c r="P59" i="2"/>
  <c r="AA103" i="23"/>
  <c r="AL65" i="23"/>
  <c r="AN65" i="23"/>
  <c r="AG45" i="2"/>
  <c r="AG55" i="2"/>
  <c r="AG59" i="2"/>
  <c r="AI45" i="2"/>
  <c r="X55" i="2"/>
  <c r="AL89" i="23"/>
  <c r="AN89" i="23"/>
  <c r="AI55" i="2"/>
  <c r="X59" i="2"/>
  <c r="AI59" i="2"/>
  <c r="AE19" i="18"/>
  <c r="AE32" i="18"/>
  <c r="AE68" i="18"/>
  <c r="AE39" i="18"/>
  <c r="AE67" i="18"/>
  <c r="AE40" i="18"/>
  <c r="AE21" i="18"/>
  <c r="AE107" i="18"/>
  <c r="AE80" i="18"/>
  <c r="AE124" i="18"/>
  <c r="AE63" i="18"/>
  <c r="AE82" i="18"/>
  <c r="AE20" i="18"/>
  <c r="AE36" i="18"/>
  <c r="AE43" i="18"/>
  <c r="AE26" i="18"/>
  <c r="AE128" i="18"/>
  <c r="AE76" i="18"/>
  <c r="AE59" i="18"/>
  <c r="AE70" i="18"/>
  <c r="D40" i="3"/>
  <c r="R40" i="3"/>
  <c r="AE113" i="18"/>
  <c r="AE130" i="18"/>
  <c r="AE35" i="18"/>
  <c r="AE22" i="18"/>
  <c r="AE100" i="18"/>
  <c r="AE89" i="18"/>
  <c r="AE109" i="18"/>
  <c r="D36" i="3"/>
  <c r="R36" i="3"/>
  <c r="AE90" i="18"/>
  <c r="AE58" i="18"/>
  <c r="AE126" i="18"/>
  <c r="AE104" i="18"/>
  <c r="AE88" i="18"/>
  <c r="AE94" i="18"/>
  <c r="AB42" i="17"/>
  <c r="AH42" i="17"/>
  <c r="AE123" i="18"/>
  <c r="AE106" i="18"/>
  <c r="V30" i="2"/>
  <c r="AE51" i="18"/>
  <c r="AE47" i="18"/>
  <c r="V16" i="2"/>
  <c r="V31" i="2"/>
  <c r="AE49" i="18"/>
  <c r="AE125" i="18"/>
  <c r="AE114" i="18"/>
  <c r="AE42" i="18"/>
  <c r="AE91" i="18"/>
  <c r="AE73" i="18"/>
  <c r="AE101" i="18"/>
  <c r="AE105" i="18"/>
  <c r="AE27" i="18"/>
  <c r="AE87" i="18"/>
  <c r="AE79" i="18"/>
  <c r="AE46" i="18"/>
  <c r="AE66" i="18"/>
  <c r="AE25" i="18"/>
  <c r="AB52" i="17"/>
  <c r="AH52" i="17"/>
  <c r="AJ52" i="17"/>
  <c r="AE41" i="18"/>
  <c r="AE71" i="18"/>
  <c r="AE78" i="18"/>
  <c r="AE69" i="18"/>
  <c r="AB39" i="17"/>
  <c r="AH39" i="17"/>
  <c r="AJ39" i="17"/>
  <c r="AE64" i="18"/>
  <c r="AE129" i="18"/>
  <c r="AE127" i="18"/>
  <c r="AE62" i="18"/>
  <c r="AE77" i="18"/>
  <c r="AE102" i="18"/>
  <c r="AB134" i="17"/>
  <c r="AH134" i="17"/>
  <c r="AE61" i="18"/>
  <c r="AE131" i="18"/>
  <c r="AB99" i="17"/>
  <c r="AH99" i="17"/>
  <c r="AJ99" i="17"/>
  <c r="AE30" i="18"/>
  <c r="AE84" i="18"/>
  <c r="AB61" i="16"/>
  <c r="AE83" i="18"/>
  <c r="AE74" i="18"/>
  <c r="AB54" i="17"/>
  <c r="AH54" i="17"/>
  <c r="AJ54" i="17"/>
  <c r="AE108" i="18"/>
  <c r="D35" i="3"/>
  <c r="R35" i="3"/>
  <c r="AE31" i="18"/>
  <c r="AE85" i="18"/>
  <c r="AB93" i="16"/>
  <c r="AH93" i="16"/>
  <c r="AJ93" i="16"/>
  <c r="AB110" i="16"/>
  <c r="AH110" i="16"/>
  <c r="AJ110" i="16"/>
  <c r="AB65" i="16"/>
  <c r="AH65" i="16"/>
  <c r="AJ65" i="16"/>
  <c r="AE34" i="18"/>
  <c r="AB37" i="16"/>
  <c r="AH37" i="16"/>
  <c r="AJ37" i="16"/>
  <c r="AB61" i="17"/>
  <c r="AH61" i="17"/>
  <c r="AJ61" i="17"/>
  <c r="AE50" i="18"/>
  <c r="AB92" i="17"/>
  <c r="AH92" i="17"/>
  <c r="AJ92" i="17"/>
  <c r="AB87" i="17"/>
  <c r="AH87" i="17"/>
  <c r="AJ87" i="17"/>
  <c r="AB27" i="17"/>
  <c r="AH27" i="17"/>
  <c r="AJ27" i="17"/>
  <c r="AB39" i="16"/>
  <c r="AH39" i="16"/>
  <c r="AJ39" i="16"/>
  <c r="AB43" i="16"/>
  <c r="AH43" i="16"/>
  <c r="AJ43" i="16"/>
  <c r="AE23" i="18"/>
  <c r="AB122" i="17"/>
  <c r="AH122" i="17"/>
  <c r="AJ122" i="17"/>
  <c r="AE72" i="18"/>
  <c r="AB28" i="17"/>
  <c r="AH28" i="17"/>
  <c r="AJ28" i="17"/>
  <c r="AB111" i="16"/>
  <c r="AH111" i="16"/>
  <c r="AJ111" i="16"/>
  <c r="AE48" i="18"/>
  <c r="AB51" i="17"/>
  <c r="AH51" i="17"/>
  <c r="AJ51" i="17"/>
  <c r="AB96" i="17"/>
  <c r="AH96" i="17"/>
  <c r="AJ96" i="17"/>
  <c r="AB66" i="16"/>
  <c r="AH66" i="16"/>
  <c r="AJ66" i="16"/>
  <c r="AE112" i="18"/>
  <c r="AB121" i="16"/>
  <c r="AH121" i="16"/>
  <c r="AJ121" i="16"/>
  <c r="D39" i="3"/>
  <c r="AB34" i="16"/>
  <c r="AH34" i="16"/>
  <c r="AJ34" i="16"/>
  <c r="AB44" i="16"/>
  <c r="AH44" i="16"/>
  <c r="AJ44" i="16"/>
  <c r="AB66" i="17"/>
  <c r="AH66" i="17"/>
  <c r="AJ66" i="17"/>
  <c r="AB34" i="17"/>
  <c r="AH34" i="17"/>
  <c r="AJ34" i="17"/>
  <c r="AB97" i="16"/>
  <c r="AH97" i="16"/>
  <c r="AJ97" i="16"/>
  <c r="AB76" i="17"/>
  <c r="AH76" i="17"/>
  <c r="AJ76" i="17"/>
  <c r="V29" i="2"/>
  <c r="AB81" i="17"/>
  <c r="AH81" i="17"/>
  <c r="AJ81" i="17"/>
  <c r="AB45" i="16"/>
  <c r="AH45" i="16"/>
  <c r="AJ45" i="16"/>
  <c r="V25" i="2"/>
  <c r="AB86" i="16"/>
  <c r="AH86" i="16"/>
  <c r="AJ86" i="16"/>
  <c r="AB118" i="16"/>
  <c r="AH118" i="16"/>
  <c r="AJ118" i="16"/>
  <c r="AB87" i="16"/>
  <c r="AH87" i="16"/>
  <c r="AJ87" i="16"/>
  <c r="AB64" i="17"/>
  <c r="AH64" i="17"/>
  <c r="AJ64" i="17"/>
  <c r="AB53" i="17"/>
  <c r="AH53" i="17"/>
  <c r="AJ53" i="17"/>
  <c r="AB24" i="16"/>
  <c r="AH24" i="16"/>
  <c r="AJ24" i="16"/>
  <c r="AB23" i="17"/>
  <c r="AH23" i="17"/>
  <c r="AJ23" i="17"/>
  <c r="AB91" i="16"/>
  <c r="AH91" i="16"/>
  <c r="AB54" i="16"/>
  <c r="AH54" i="16"/>
  <c r="AJ54" i="16"/>
  <c r="AB109" i="16"/>
  <c r="AB72" i="17"/>
  <c r="AH72" i="17"/>
  <c r="AJ72" i="17"/>
  <c r="AB69" i="17"/>
  <c r="AH69" i="17"/>
  <c r="AJ69" i="17"/>
  <c r="AB71" i="17"/>
  <c r="AH71" i="17"/>
  <c r="AJ71" i="17"/>
  <c r="AB117" i="16"/>
  <c r="AH117" i="16"/>
  <c r="AJ117" i="16"/>
  <c r="AB96" i="16"/>
  <c r="AH96" i="16"/>
  <c r="AJ96" i="16"/>
  <c r="AB24" i="17"/>
  <c r="AH24" i="17"/>
  <c r="AJ24" i="17"/>
  <c r="AB95" i="17"/>
  <c r="AH95" i="17"/>
  <c r="AJ95" i="17"/>
  <c r="AB74" i="16"/>
  <c r="AH74" i="16"/>
  <c r="AJ74" i="16"/>
  <c r="AB97" i="17"/>
  <c r="AH97" i="17"/>
  <c r="AJ97" i="17"/>
  <c r="AB121" i="17"/>
  <c r="AH121" i="17"/>
  <c r="AJ121" i="17"/>
  <c r="AB81" i="16"/>
  <c r="AH81" i="16"/>
  <c r="AJ81" i="16"/>
  <c r="AB86" i="17"/>
  <c r="AH86" i="17"/>
  <c r="AJ86" i="17"/>
  <c r="AB29" i="16"/>
  <c r="AH29" i="16"/>
  <c r="AJ29" i="16"/>
  <c r="AB67" i="16"/>
  <c r="AH67" i="16"/>
  <c r="AJ67" i="16"/>
  <c r="AB135" i="17"/>
  <c r="AH135" i="17"/>
  <c r="AJ135" i="17"/>
  <c r="AB42" i="16"/>
  <c r="AB123" i="17"/>
  <c r="AH123" i="17"/>
  <c r="AJ123" i="17"/>
  <c r="AB88" i="17"/>
  <c r="AH88" i="17"/>
  <c r="AJ88" i="17"/>
  <c r="AB65" i="17"/>
  <c r="AH65" i="17"/>
  <c r="AJ65" i="17"/>
  <c r="AB114" i="16"/>
  <c r="AH114" i="16"/>
  <c r="AJ114" i="16"/>
  <c r="AB72" i="16"/>
  <c r="AH72" i="16"/>
  <c r="AJ72" i="16"/>
  <c r="AB73" i="17"/>
  <c r="AH73" i="17"/>
  <c r="AJ73" i="17"/>
  <c r="AB90" i="16"/>
  <c r="AH90" i="16"/>
  <c r="AJ90" i="16"/>
  <c r="AB50" i="16"/>
  <c r="AH50" i="16"/>
  <c r="AJ50" i="16"/>
  <c r="AB22" i="16"/>
  <c r="AH22" i="16"/>
  <c r="AJ22" i="16"/>
  <c r="AB113" i="16"/>
  <c r="AH113" i="16"/>
  <c r="AJ113" i="16"/>
  <c r="AB98" i="17"/>
  <c r="AH98" i="17"/>
  <c r="AJ98" i="17"/>
  <c r="AB36" i="16"/>
  <c r="AH36" i="16"/>
  <c r="AJ36" i="16"/>
  <c r="AE33" i="18"/>
  <c r="AB84" i="16"/>
  <c r="AH84" i="16"/>
  <c r="AB64" i="16"/>
  <c r="AH64" i="16"/>
  <c r="AJ64" i="16"/>
  <c r="AH21" i="16"/>
  <c r="AJ21" i="16"/>
  <c r="AB22" i="17"/>
  <c r="AH22" i="17"/>
  <c r="AJ22" i="17"/>
  <c r="AB21" i="17"/>
  <c r="AH21" i="17"/>
  <c r="AJ21" i="17"/>
  <c r="AB33" i="16"/>
  <c r="AH33" i="16"/>
  <c r="AJ33" i="16"/>
  <c r="AB43" i="17"/>
  <c r="AH43" i="17"/>
  <c r="AJ43" i="17"/>
  <c r="AB74" i="17"/>
  <c r="AH74" i="17"/>
  <c r="AJ74" i="17"/>
  <c r="AB37" i="17"/>
  <c r="AH37" i="17"/>
  <c r="AJ37" i="17"/>
  <c r="AB32" i="16"/>
  <c r="D52" i="3"/>
  <c r="R52" i="3"/>
  <c r="AB85" i="17"/>
  <c r="AH85" i="17"/>
  <c r="AJ85" i="17"/>
  <c r="AB46" i="17"/>
  <c r="AH46" i="17"/>
  <c r="AJ46" i="17"/>
  <c r="AB71" i="16"/>
  <c r="AH71" i="16"/>
  <c r="AJ71" i="16"/>
  <c r="AB110" i="17"/>
  <c r="AH110" i="17"/>
  <c r="AJ110" i="17"/>
  <c r="AB75" i="17"/>
  <c r="AH75" i="17"/>
  <c r="AJ75" i="17"/>
  <c r="AB116" i="17"/>
  <c r="AH116" i="17"/>
  <c r="AJ116" i="17"/>
  <c r="AB44" i="17"/>
  <c r="AH44" i="17"/>
  <c r="AJ44" i="17"/>
  <c r="AB50" i="17"/>
  <c r="AH50" i="17"/>
  <c r="AJ50" i="17"/>
  <c r="AB85" i="16"/>
  <c r="AH85" i="16"/>
  <c r="AJ85" i="16"/>
  <c r="AB51" i="16"/>
  <c r="AH51" i="16"/>
  <c r="AJ51" i="16"/>
  <c r="AB38" i="17"/>
  <c r="AH38" i="17"/>
  <c r="AJ38" i="17"/>
  <c r="AB38" i="16"/>
  <c r="AH38" i="16"/>
  <c r="AJ38" i="16"/>
  <c r="AB92" i="16"/>
  <c r="AH92" i="16"/>
  <c r="AJ92" i="16"/>
  <c r="AB52" i="16"/>
  <c r="AH52" i="16"/>
  <c r="AJ52" i="16"/>
  <c r="AB25" i="16"/>
  <c r="AH25" i="16"/>
  <c r="AJ25" i="16"/>
  <c r="AB103" i="17"/>
  <c r="AB53" i="16"/>
  <c r="AH53" i="16"/>
  <c r="AJ53" i="16"/>
  <c r="AB69" i="16"/>
  <c r="AH69" i="16"/>
  <c r="AJ69" i="16"/>
  <c r="AB109" i="17"/>
  <c r="AH109" i="17"/>
  <c r="AJ109" i="17"/>
  <c r="AB23" i="16"/>
  <c r="AH23" i="16"/>
  <c r="AJ23" i="16"/>
  <c r="AB25" i="17"/>
  <c r="AH25" i="17"/>
  <c r="AJ25" i="17"/>
  <c r="AB95" i="16"/>
  <c r="AH95" i="16"/>
  <c r="AJ95" i="16"/>
  <c r="AB29" i="17"/>
  <c r="AH29" i="17"/>
  <c r="AJ29" i="17"/>
  <c r="AB113" i="17"/>
  <c r="AH113" i="17"/>
  <c r="AJ113" i="17"/>
  <c r="AB62" i="17"/>
  <c r="AB117" i="17"/>
  <c r="AH117" i="17"/>
  <c r="AJ117" i="17"/>
  <c r="AB122" i="16"/>
  <c r="AH122" i="16"/>
  <c r="AJ122" i="16"/>
  <c r="AB36" i="17"/>
  <c r="AH36" i="17"/>
  <c r="AJ36" i="17"/>
  <c r="AB115" i="16"/>
  <c r="AH115" i="16"/>
  <c r="AJ115" i="16"/>
  <c r="AB114" i="17"/>
  <c r="AH114" i="17"/>
  <c r="AJ114" i="17"/>
  <c r="AB91" i="17"/>
  <c r="AH91" i="17"/>
  <c r="AB75" i="16"/>
  <c r="AH75" i="16"/>
  <c r="AJ75" i="16"/>
  <c r="AB103" i="16"/>
  <c r="AB90" i="17"/>
  <c r="AH90" i="17"/>
  <c r="AJ90" i="17"/>
  <c r="AB88" i="16"/>
  <c r="AH88" i="16"/>
  <c r="AJ88" i="16"/>
  <c r="AB123" i="16"/>
  <c r="AH123" i="16"/>
  <c r="AJ123" i="16"/>
  <c r="AB45" i="17"/>
  <c r="AH45" i="17"/>
  <c r="AJ45" i="17"/>
  <c r="AB33" i="17"/>
  <c r="AH33" i="17"/>
  <c r="AJ33" i="17"/>
  <c r="AB116" i="16"/>
  <c r="AH116" i="16"/>
  <c r="AJ116" i="16"/>
  <c r="AB62" i="16"/>
  <c r="AH62" i="16"/>
  <c r="AJ62" i="16"/>
  <c r="AH98" i="16"/>
  <c r="AJ98" i="16"/>
  <c r="AB115" i="17"/>
  <c r="AH115" i="17"/>
  <c r="AJ115" i="17"/>
  <c r="V28" i="18"/>
  <c r="AB76" i="16"/>
  <c r="AH76" i="16"/>
  <c r="AJ76" i="16"/>
  <c r="AB46" i="16"/>
  <c r="AH46" i="16"/>
  <c r="AJ46" i="16"/>
  <c r="AB67" i="17"/>
  <c r="AH67" i="17"/>
  <c r="AJ67" i="17"/>
  <c r="AB118" i="17"/>
  <c r="AH118" i="17"/>
  <c r="AJ118" i="17"/>
  <c r="AB111" i="17"/>
  <c r="AH111" i="17"/>
  <c r="AJ111" i="17"/>
  <c r="AB99" i="16"/>
  <c r="AH99" i="16"/>
  <c r="AJ99" i="16"/>
  <c r="AB73" i="16"/>
  <c r="AH73" i="16"/>
  <c r="AJ73" i="16"/>
  <c r="AB84" i="17"/>
  <c r="AH84" i="17"/>
  <c r="AB93" i="17"/>
  <c r="AH93" i="17"/>
  <c r="AJ93" i="17"/>
  <c r="AB49" i="17"/>
  <c r="V54" i="18"/>
  <c r="V96" i="18"/>
  <c r="V119" i="18"/>
  <c r="V138" i="18"/>
  <c r="V140" i="18"/>
  <c r="D32" i="3"/>
  <c r="R32" i="3"/>
  <c r="V33" i="2"/>
  <c r="D28" i="3"/>
  <c r="R28" i="3"/>
  <c r="D19" i="3"/>
  <c r="R19" i="3"/>
  <c r="D34" i="2"/>
  <c r="D42" i="2"/>
  <c r="V50" i="2"/>
  <c r="C136" i="16"/>
  <c r="U101" i="17"/>
  <c r="U26" i="16"/>
  <c r="U30" i="16"/>
  <c r="AB30" i="16"/>
  <c r="D34" i="3"/>
  <c r="R34" i="3"/>
  <c r="D33" i="3"/>
  <c r="R33" i="3"/>
  <c r="U137" i="17"/>
  <c r="V36" i="2"/>
  <c r="V37" i="2"/>
  <c r="AB55" i="17"/>
  <c r="AH49" i="17"/>
  <c r="D20" i="3"/>
  <c r="R20" i="3"/>
  <c r="V17" i="2"/>
  <c r="AB101" i="17"/>
  <c r="AH62" i="17"/>
  <c r="D51" i="2"/>
  <c r="V49" i="2"/>
  <c r="C135" i="16"/>
  <c r="U40" i="17"/>
  <c r="AH42" i="16"/>
  <c r="AB47" i="16"/>
  <c r="AH119" i="17"/>
  <c r="U26" i="17"/>
  <c r="U30" i="17"/>
  <c r="AB101" i="16"/>
  <c r="AH61" i="16"/>
  <c r="V28" i="2"/>
  <c r="D31" i="3"/>
  <c r="R31" i="3"/>
  <c r="AH103" i="16"/>
  <c r="U55" i="17"/>
  <c r="AB119" i="17"/>
  <c r="AB128" i="17"/>
  <c r="AH103" i="17"/>
  <c r="V24" i="2"/>
  <c r="U40" i="16"/>
  <c r="AB26" i="17"/>
  <c r="AB119" i="16"/>
  <c r="AB128" i="16"/>
  <c r="AH128" i="16"/>
  <c r="AJ128" i="16"/>
  <c r="AH109" i="16"/>
  <c r="V38" i="2"/>
  <c r="D41" i="3"/>
  <c r="R41" i="3"/>
  <c r="AH32" i="16"/>
  <c r="AB40" i="16"/>
  <c r="D27" i="3"/>
  <c r="D21" i="3"/>
  <c r="R21" i="3"/>
  <c r="V18" i="2"/>
  <c r="U55" i="16"/>
  <c r="AB49" i="16"/>
  <c r="AJ42" i="17"/>
  <c r="AH47" i="17"/>
  <c r="AJ47" i="17"/>
  <c r="AB47" i="17"/>
  <c r="U119" i="17"/>
  <c r="U128" i="17"/>
  <c r="D51" i="3"/>
  <c r="AB32" i="17"/>
  <c r="AH137" i="17"/>
  <c r="AJ137" i="17"/>
  <c r="AJ134" i="17"/>
  <c r="V19" i="2"/>
  <c r="D22" i="3"/>
  <c r="R22" i="3"/>
  <c r="R39" i="3"/>
  <c r="U47" i="16"/>
  <c r="V26" i="2"/>
  <c r="D29" i="3"/>
  <c r="R29" i="3"/>
  <c r="U101" i="16"/>
  <c r="V15" i="2"/>
  <c r="D18" i="3"/>
  <c r="R18" i="3"/>
  <c r="AB137" i="17"/>
  <c r="V32" i="2"/>
  <c r="U47" i="17"/>
  <c r="C138" i="16"/>
  <c r="C142" i="16"/>
  <c r="C144" i="16"/>
  <c r="E144" i="16"/>
  <c r="Y138" i="16"/>
  <c r="Y142" i="16"/>
  <c r="X140" i="18"/>
  <c r="AB136" i="16"/>
  <c r="AH136" i="16"/>
  <c r="AJ136" i="16"/>
  <c r="AB26" i="16"/>
  <c r="AH26" i="16"/>
  <c r="AH30" i="16"/>
  <c r="AJ30" i="16"/>
  <c r="U57" i="16"/>
  <c r="U105" i="16"/>
  <c r="U131" i="16"/>
  <c r="U142" i="16"/>
  <c r="AH32" i="17"/>
  <c r="AB40" i="17"/>
  <c r="V34" i="2"/>
  <c r="V42" i="2"/>
  <c r="AJ61" i="16"/>
  <c r="AH101" i="16"/>
  <c r="AJ101" i="16"/>
  <c r="D53" i="3"/>
  <c r="R51" i="3"/>
  <c r="R53" i="3"/>
  <c r="AH40" i="16"/>
  <c r="AJ40" i="16"/>
  <c r="AJ32" i="16"/>
  <c r="AJ103" i="16"/>
  <c r="AJ42" i="16"/>
  <c r="AH47" i="16"/>
  <c r="AJ47" i="16"/>
  <c r="AJ62" i="17"/>
  <c r="AH101" i="17"/>
  <c r="AJ101" i="17"/>
  <c r="AJ49" i="17"/>
  <c r="AH55" i="17"/>
  <c r="AJ55" i="17"/>
  <c r="AH26" i="17"/>
  <c r="AB30" i="17"/>
  <c r="AJ109" i="16"/>
  <c r="AH119" i="16"/>
  <c r="AJ119" i="16"/>
  <c r="U57" i="17"/>
  <c r="D20" i="2"/>
  <c r="D45" i="2"/>
  <c r="D55" i="2"/>
  <c r="D17" i="3"/>
  <c r="V14" i="2"/>
  <c r="V20" i="2"/>
  <c r="AH49" i="16"/>
  <c r="AB55" i="16"/>
  <c r="AB57" i="16"/>
  <c r="AB105" i="16"/>
  <c r="AB131" i="16"/>
  <c r="D37" i="3"/>
  <c r="D45" i="3"/>
  <c r="R27" i="3"/>
  <c r="R37" i="3"/>
  <c r="R45" i="3"/>
  <c r="AH128" i="17"/>
  <c r="AJ128" i="17"/>
  <c r="AJ119" i="17"/>
  <c r="V51" i="2"/>
  <c r="V57" i="2"/>
  <c r="Z140" i="18"/>
  <c r="W138" i="16"/>
  <c r="W142" i="16"/>
  <c r="AJ26" i="16"/>
  <c r="V45" i="2"/>
  <c r="V55" i="2"/>
  <c r="AH131" i="16"/>
  <c r="AJ131" i="16"/>
  <c r="AH55" i="16"/>
  <c r="AJ49" i="16"/>
  <c r="AJ26" i="17"/>
  <c r="AH30" i="17"/>
  <c r="AJ30" i="17"/>
  <c r="AB135" i="16"/>
  <c r="U144" i="16"/>
  <c r="AH40" i="17"/>
  <c r="AJ40" i="17"/>
  <c r="AJ32" i="17"/>
  <c r="D23" i="3"/>
  <c r="D48" i="3"/>
  <c r="D57" i="3"/>
  <c r="R17" i="3"/>
  <c r="R23" i="3"/>
  <c r="R48" i="3"/>
  <c r="R57" i="3"/>
  <c r="AB57" i="17"/>
  <c r="U105" i="17"/>
  <c r="U131" i="17"/>
  <c r="U141" i="17"/>
  <c r="U143" i="17"/>
  <c r="W143" i="17"/>
  <c r="Y143" i="17"/>
  <c r="D59" i="3"/>
  <c r="R59" i="3"/>
  <c r="R61" i="3"/>
  <c r="D59" i="2"/>
  <c r="V59" i="2"/>
  <c r="W144" i="16"/>
  <c r="Y144" i="16"/>
  <c r="AB138" i="16"/>
  <c r="AB142" i="16"/>
  <c r="AH135" i="16"/>
  <c r="AH57" i="16"/>
  <c r="AJ55" i="16"/>
  <c r="AH57" i="17"/>
  <c r="AB105" i="17"/>
  <c r="AB131" i="17"/>
  <c r="D61" i="3"/>
  <c r="AJ57" i="17"/>
  <c r="AH105" i="17"/>
  <c r="AJ105" i="17"/>
  <c r="AH142" i="16"/>
  <c r="AJ142" i="16"/>
  <c r="AB144" i="16"/>
  <c r="AH144" i="16"/>
  <c r="AJ144" i="16"/>
  <c r="AJ57" i="16"/>
  <c r="AH105" i="16"/>
  <c r="AJ105" i="16"/>
  <c r="AB141" i="17"/>
  <c r="AH131" i="17"/>
  <c r="AJ131" i="17"/>
  <c r="AJ135" i="16"/>
  <c r="AH138" i="16"/>
  <c r="AJ138" i="16"/>
  <c r="AH141" i="17"/>
  <c r="AJ141" i="17"/>
  <c r="AB143" i="17"/>
  <c r="AH143" i="17"/>
  <c r="AJ143" i="17"/>
  <c r="U23" i="26"/>
  <c r="U39" i="26"/>
  <c r="U53" i="26"/>
  <c r="U55" i="26"/>
  <c r="B21" i="5"/>
  <c r="B32" i="5"/>
  <c r="B42" i="5"/>
  <c r="W55" i="26"/>
  <c r="J18" i="5"/>
  <c r="J21" i="5"/>
  <c r="J32" i="5"/>
  <c r="J42" i="5"/>
  <c r="J44" i="5"/>
  <c r="J45" i="5"/>
  <c r="Y55" i="26"/>
  <c r="B45" i="5"/>
</calcChain>
</file>

<file path=xl/sharedStrings.xml><?xml version="1.0" encoding="utf-8"?>
<sst xmlns="http://schemas.openxmlformats.org/spreadsheetml/2006/main" count="3777" uniqueCount="1530">
  <si>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</si>
  <si>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</si>
  <si>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</si>
  <si>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</si>
  <si>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</si>
  <si>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</si>
  <si>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</si>
  <si>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</si>
  <si>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</si>
  <si>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</si>
  <si>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</si>
  <si>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</si>
  <si>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</si>
  <si>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</si>
  <si>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</si>
  <si>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</si>
  <si>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</si>
  <si>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</si>
  <si>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</si>
  <si>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</si>
  <si>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</si>
  <si>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</si>
  <si>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</si>
  <si>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</si>
  <si>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</si>
  <si>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</si>
  <si>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</si>
  <si>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</si>
  <si>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</si>
  <si>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</si>
  <si>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</si>
  <si>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</si>
  <si>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</si>
  <si>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</si>
  <si>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</si>
  <si>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</si>
  <si>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</si>
  <si>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</si>
  <si>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</si>
  <si>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</si>
  <si>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</si>
  <si>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</si>
  <si>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</si>
  <si>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</si>
  <si>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</si>
  <si>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</si>
  <si>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</si>
  <si>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</si>
  <si>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</si>
  <si>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</si>
  <si>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</si>
  <si>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</si>
  <si>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</si>
  <si>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</si>
  <si>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</si>
  <si>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</si>
  <si>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</si>
  <si>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</si>
  <si>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</si>
  <si>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</si>
  <si>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</si>
  <si>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</si>
  <si>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</si>
  <si>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</si>
  <si>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</si>
  <si>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</si>
  <si>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</si>
  <si>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</si>
  <si>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</si>
  <si>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</si>
  <si>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</si>
  <si>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</si>
  <si>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</si>
  <si>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</si>
  <si>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</si>
  <si>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</si>
  <si>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</si>
  <si>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</si>
  <si>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</si>
  <si>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</si>
  <si>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</si>
  <si>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</si>
  <si>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</si>
  <si>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</si>
  <si>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</si>
  <si>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</si>
  <si>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</si>
  <si>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</si>
  <si>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</si>
  <si>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</si>
  <si>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</si>
  <si>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</si>
  <si>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</si>
  <si>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</si>
  <si>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</si>
  <si>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</si>
  <si>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</si>
  <si>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</si>
  <si>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</si>
  <si>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</si>
  <si>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</si>
  <si>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</si>
  <si>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</si>
  <si>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</si>
  <si>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</si>
  <si>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</si>
  <si>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</si>
  <si>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</si>
  <si>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</si>
  <si>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</si>
  <si>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</si>
  <si>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</si>
  <si>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</si>
  <si>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</si>
  <si>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</si>
  <si>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</si>
  <si>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</si>
  <si>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</si>
  <si>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</si>
  <si>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</si>
  <si>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</si>
  <si>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</si>
  <si>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</si>
  <si>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</si>
  <si>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</si>
  <si>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</si>
  <si>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</si>
  <si>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</si>
  <si>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</si>
  <si>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</si>
  <si>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</si>
  <si>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</si>
  <si>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</si>
  <si>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</si>
  <si>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</si>
  <si>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</si>
  <si>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</si>
  <si>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</si>
  <si>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</si>
  <si>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</si>
  <si>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</si>
  <si>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</si>
  <si>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</si>
  <si>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</si>
  <si>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</si>
  <si>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</si>
  <si>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</si>
  <si>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</si>
  <si>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</si>
  <si>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</si>
  <si>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</si>
  <si>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</si>
  <si>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</si>
  <si>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</si>
  <si>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</si>
  <si>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</si>
  <si>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</si>
  <si>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</si>
  <si>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</si>
  <si>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</si>
  <si>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</si>
  <si>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</si>
  <si>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</si>
  <si>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</si>
  <si>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</si>
  <si>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</si>
  <si>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</si>
  <si>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</si>
  <si>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</si>
  <si>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</si>
  <si>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</si>
  <si>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</si>
  <si>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</si>
  <si>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</si>
  <si>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</si>
  <si>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</si>
  <si>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</si>
  <si>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</si>
  <si>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</si>
  <si>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</si>
  <si>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</si>
  <si>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</si>
  <si>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</si>
  <si>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</si>
  <si>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</si>
  <si>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</si>
  <si>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</si>
  <si>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</si>
  <si>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</si>
  <si>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</si>
  <si>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</si>
  <si>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</si>
  <si>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</si>
  <si>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</si>
  <si>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</si>
  <si>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</si>
  <si>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</si>
  <si>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</si>
  <si>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</si>
  <si>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</si>
  <si>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</si>
  <si>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</si>
  <si>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</si>
  <si>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</si>
  <si>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</si>
  <si>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</si>
  <si>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</si>
  <si>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</si>
  <si>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</si>
  <si>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</si>
  <si>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</si>
  <si>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</si>
  <si>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</si>
  <si>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</si>
  <si>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</si>
  <si>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</si>
  <si>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</si>
  <si>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</si>
  <si>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</si>
  <si>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</si>
  <si>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</si>
  <si>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</si>
  <si>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</si>
  <si>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</si>
  <si>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</si>
  <si>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</si>
  <si>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</si>
  <si>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</si>
  <si>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</si>
  <si>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</si>
  <si>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</si>
  <si>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</si>
  <si>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</si>
  <si>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</si>
  <si>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</si>
  <si>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</si>
  <si>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</si>
  <si>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</si>
  <si>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</si>
  <si>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</si>
  <si>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</si>
  <si>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</si>
  <si>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</si>
  <si>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</si>
  <si>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</si>
  <si>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</si>
  <si>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</si>
  <si>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</si>
  <si>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</si>
  <si>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</si>
  <si>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</si>
  <si>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</si>
  <si>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</si>
  <si>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</si>
  <si>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</si>
  <si>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</si>
  <si>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</si>
  <si>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</si>
  <si>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</si>
  <si>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</si>
  <si>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</si>
  <si>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</si>
  <si>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</si>
  <si>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</si>
  <si>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</si>
  <si>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</si>
  <si>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</si>
  <si>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</si>
  <si>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</si>
  <si>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</si>
  <si>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</si>
  <si>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</si>
  <si>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</si>
  <si>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</si>
  <si>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</si>
  <si>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</si>
  <si>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</si>
  <si>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</si>
  <si>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</si>
  <si>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</si>
  <si>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</si>
  <si>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</si>
  <si>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</si>
  <si>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</si>
  <si>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</si>
  <si>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</si>
  <si>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</si>
  <si>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</si>
  <si>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</si>
  <si>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</si>
  <si>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</si>
  <si>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</si>
  <si>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</si>
  <si>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</si>
  <si>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</si>
  <si>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</si>
  <si>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</si>
  <si>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</si>
  <si>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</si>
  <si>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</si>
  <si>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</si>
  <si>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</si>
  <si>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</si>
  <si>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</si>
  <si>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</si>
  <si>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</si>
  <si>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</si>
  <si>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</si>
  <si>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</si>
  <si>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</si>
  <si>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</si>
  <si>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</si>
  <si>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</si>
  <si>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</si>
  <si>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</si>
  <si>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</si>
  <si>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</si>
  <si>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</si>
  <si>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</si>
  <si>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</si>
  <si>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</si>
  <si>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</si>
  <si>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</si>
  <si>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</si>
  <si>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</si>
  <si>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</si>
  <si>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</si>
  <si>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</si>
  <si>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</si>
  <si>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</si>
  <si>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</si>
  <si>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</si>
  <si>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</si>
  <si>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</si>
  <si>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</si>
  <si>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</si>
  <si>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</si>
  <si>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</si>
  <si>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</si>
  <si>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</si>
  <si>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</si>
  <si>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</si>
  <si>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</si>
  <si>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</si>
  <si>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</si>
  <si>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</si>
  <si>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</si>
  <si>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</si>
  <si>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</si>
  <si>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</si>
  <si>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</si>
  <si>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</si>
  <si>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</si>
  <si>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</si>
  <si>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</si>
  <si>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</si>
  <si>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</si>
  <si>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</si>
  <si>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</si>
  <si>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</si>
  <si>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</si>
  <si>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</si>
  <si>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</si>
  <si>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</si>
  <si>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</si>
  <si>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</si>
  <si>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</si>
  <si>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</si>
  <si>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</si>
  <si>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</si>
  <si>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</si>
  <si>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</si>
  <si>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</si>
  <si>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</si>
  <si>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</si>
  <si>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</si>
  <si>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</si>
  <si>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</si>
  <si>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</si>
  <si>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</si>
  <si>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</si>
  <si>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</si>
  <si>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</si>
  <si>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</si>
  <si>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</si>
  <si>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</si>
  <si>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</si>
  <si>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</si>
  <si>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</si>
  <si>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</si>
  <si>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</si>
  <si>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</si>
  <si>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</si>
  <si>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</si>
  <si>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</si>
  <si>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</si>
  <si>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</si>
  <si>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TOTAL ACCOUNTS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</si>
  <si>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</si>
  <si>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</si>
  <si>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</si>
  <si>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</si>
  <si>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</si>
  <si>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</si>
  <si>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</si>
  <si>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</si>
  <si>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Solid Waste </t>
  </si>
  <si>
    <t xml:space="preserve">           Air</t>
  </si>
  <si>
    <t xml:space="preserve">           Water</t>
  </si>
  <si>
    <t xml:space="preserve">  Environmental Quality (1986):</t>
  </si>
  <si>
    <t xml:space="preserve">           Solid Waste Management</t>
  </si>
  <si>
    <t xml:space="preserve">  Housing:</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</si>
  <si>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</si>
  <si>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</si>
  <si>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</si>
  <si>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</si>
  <si>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</si>
  <si>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</si>
  <si>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</si>
  <si>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</si>
  <si>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</si>
  <si>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</si>
  <si>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</si>
  <si>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</si>
  <si>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</si>
  <si>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</si>
  <si>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</si>
  <si>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</si>
  <si>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</si>
  <si>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</si>
  <si>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</si>
  <si>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</si>
  <si>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</si>
  <si>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</si>
  <si>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</si>
  <si>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</si>
  <si>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</si>
  <si>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</si>
  <si>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</si>
  <si>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</si>
  <si>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</si>
  <si>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</si>
  <si>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</si>
  <si>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</si>
  <si>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</si>
  <si>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</si>
  <si>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</si>
  <si>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</si>
  <si>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</si>
  <si>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</si>
  <si>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</si>
  <si>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Department of Health Facilities</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</si>
  <si>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</si>
  <si>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</si>
  <si>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</si>
  <si>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</si>
  <si>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</si>
  <si>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</si>
  <si>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</si>
  <si>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</si>
  <si>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</si>
  <si>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</si>
  <si>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</si>
  <si>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</si>
  <si>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</si>
  <si>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</si>
  <si>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</si>
  <si>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</si>
  <si>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</si>
  <si>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</si>
  <si>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</si>
  <si>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</si>
  <si>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</si>
  <si>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</si>
  <si>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</si>
  <si>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</si>
  <si>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</si>
  <si>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</si>
  <si>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</si>
  <si>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</si>
  <si>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</si>
  <si>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</si>
  <si>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</si>
  <si>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</si>
  <si>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</si>
  <si>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</si>
  <si>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</si>
  <si>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</si>
  <si>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</si>
  <si>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</si>
  <si>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</si>
  <si>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</si>
  <si>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</si>
  <si>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</si>
  <si>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</si>
  <si>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</si>
  <si>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</si>
  <si>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</si>
  <si>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</si>
  <si>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</si>
  <si>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</si>
  <si>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</si>
  <si>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</si>
  <si>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</si>
  <si>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</si>
  <si>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</si>
  <si>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</si>
  <si>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</si>
  <si>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</si>
  <si>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</si>
  <si>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</si>
  <si>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</si>
  <si>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</si>
  <si>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</si>
  <si>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</si>
  <si>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</si>
  <si>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</si>
  <si>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</si>
  <si>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</si>
  <si>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</si>
  <si>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</si>
  <si>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</si>
  <si>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</si>
  <si>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</si>
  <si>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</si>
  <si>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</si>
  <si>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</si>
  <si>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</si>
  <si>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</si>
  <si>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</si>
  <si>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</si>
  <si>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</si>
  <si>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</si>
  <si>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</si>
  <si>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</si>
  <si>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</si>
  <si>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</si>
  <si>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</si>
  <si>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</si>
  <si>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</si>
  <si>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</si>
  <si>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</si>
  <si>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</si>
  <si>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</si>
  <si>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</si>
  <si>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</si>
  <si>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</si>
  <si>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</si>
  <si>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</si>
  <si>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</si>
  <si>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</si>
  <si>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</si>
  <si>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</si>
  <si>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</si>
  <si>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</si>
  <si>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</si>
  <si>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</si>
  <si>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</si>
  <si>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</si>
  <si>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</si>
  <si>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</si>
  <si>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</si>
  <si>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</si>
  <si>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</si>
  <si>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</si>
  <si>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</si>
  <si>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</si>
  <si>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</si>
  <si>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</si>
  <si>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</si>
  <si>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</si>
  <si>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</si>
  <si>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</si>
  <si>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</si>
  <si>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</si>
  <si>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</si>
  <si>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</si>
  <si>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</si>
  <si>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</si>
  <si>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</si>
  <si>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</si>
  <si>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</si>
  <si>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</si>
  <si>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</si>
  <si>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</si>
  <si>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</si>
  <si>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</si>
  <si>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</si>
  <si>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</si>
  <si>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</si>
  <si>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</si>
  <si>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</si>
  <si>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</si>
  <si>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</si>
  <si>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</si>
  <si>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</si>
  <si>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</si>
  <si>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</si>
  <si>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</si>
  <si>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</si>
  <si>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</si>
  <si>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</si>
  <si>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</si>
  <si>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</si>
  <si>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</si>
  <si>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</si>
  <si>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</si>
  <si>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</si>
  <si>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</si>
  <si>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</si>
  <si>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</si>
  <si>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</si>
  <si>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</si>
  <si>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</si>
  <si>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</si>
  <si>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</si>
  <si>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</si>
  <si>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</si>
  <si>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</si>
  <si>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</si>
  <si>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</si>
  <si>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</si>
  <si>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</si>
  <si>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</si>
  <si>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</si>
  <si>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</si>
  <si>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</si>
  <si>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</si>
  <si>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</si>
  <si>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</si>
  <si>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</si>
  <si>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</si>
  <si>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</si>
  <si>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</si>
  <si>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</si>
  <si>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</si>
  <si>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</si>
  <si>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</si>
  <si>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</si>
  <si>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</si>
  <si>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</si>
  <si>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</si>
  <si>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</si>
  <si>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</si>
  <si>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</si>
  <si>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</si>
  <si>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</si>
  <si>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</si>
  <si>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</si>
  <si>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</si>
  <si>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</si>
  <si>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</si>
  <si>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</si>
  <si>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</si>
  <si>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</si>
  <si>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</si>
  <si>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</si>
  <si>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</si>
  <si>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</si>
  <si>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</si>
  <si>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</si>
  <si>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</si>
  <si>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</si>
  <si>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</si>
  <si>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</si>
  <si>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</si>
  <si>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</si>
  <si>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</si>
  <si>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</si>
  <si>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</si>
  <si>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</si>
  <si>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</si>
  <si>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</si>
  <si>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</si>
  <si>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</si>
  <si>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</si>
  <si>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</si>
  <si>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</si>
  <si>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</si>
  <si>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</si>
  <si>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</si>
  <si>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</si>
  <si>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</si>
  <si>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</si>
  <si>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</si>
  <si>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</si>
  <si>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</si>
  <si>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</si>
  <si>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</si>
  <si>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</si>
  <si>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</si>
  <si>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</si>
  <si>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</si>
  <si>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</si>
  <si>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</si>
  <si>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</si>
  <si>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</si>
  <si>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</si>
  <si>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</si>
  <si>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</si>
  <si>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</si>
  <si>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</si>
  <si>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</si>
  <si>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</si>
  <si>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</si>
  <si>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</si>
  <si>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</si>
  <si>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</si>
  <si>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</si>
  <si>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</si>
  <si>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</si>
  <si>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</si>
  <si>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</si>
  <si>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</si>
  <si>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</si>
  <si>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</si>
  <si>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</si>
  <si>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</si>
  <si>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</si>
  <si>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</si>
  <si>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</si>
  <si>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</si>
  <si>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</si>
  <si>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</si>
  <si>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</si>
  <si>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</si>
  <si>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</si>
  <si>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</si>
  <si>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</si>
  <si>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</si>
  <si>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</si>
  <si>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</si>
  <si>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</si>
  <si>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</si>
  <si>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</si>
  <si>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</si>
  <si>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</si>
  <si>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</si>
  <si>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</si>
  <si>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</si>
  <si>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</si>
  <si>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</si>
  <si>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</si>
  <si>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</si>
  <si>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</si>
  <si>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</si>
  <si>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</si>
  <si>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</si>
  <si>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</si>
  <si>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</si>
  <si>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</si>
  <si>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</si>
  <si>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</si>
  <si>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</si>
  <si>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</si>
  <si>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</si>
  <si>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</si>
  <si>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</si>
  <si>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</si>
  <si>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</si>
  <si>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</si>
  <si>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</si>
  <si>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</si>
  <si>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</si>
  <si>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</si>
  <si>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</si>
  <si>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</si>
  <si>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</si>
  <si>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</si>
  <si>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</si>
  <si>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</si>
  <si>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</si>
  <si>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</si>
  <si>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</si>
  <si>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</si>
  <si>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</si>
  <si>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</si>
  <si>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</si>
  <si>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</si>
  <si>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</si>
  <si>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</si>
  <si>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</si>
  <si>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</si>
  <si>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</si>
  <si>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</si>
  <si>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</si>
  <si>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</si>
  <si>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</si>
  <si>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</si>
  <si>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</si>
  <si>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</si>
  <si>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</si>
  <si>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</si>
  <si>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</si>
  <si>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</si>
  <si>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</si>
  <si>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</si>
  <si>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</si>
  <si>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</si>
  <si>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</si>
  <si>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</si>
  <si>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</si>
  <si>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</si>
  <si>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</si>
  <si>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</si>
  <si>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</si>
  <si>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</si>
  <si>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</si>
  <si>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</si>
  <si>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</si>
  <si>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</si>
  <si>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</si>
  <si>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</si>
  <si>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</si>
  <si>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</si>
  <si>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</si>
  <si>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</si>
  <si>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</si>
  <si>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</si>
  <si>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</si>
  <si>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</si>
  <si>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</si>
  <si>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</si>
  <si>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</si>
  <si>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</si>
  <si>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</si>
  <si>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</si>
  <si>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</si>
  <si>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</si>
  <si>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</si>
  <si>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</si>
  <si>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</si>
  <si>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</si>
  <si>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</si>
  <si>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</si>
  <si>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</si>
  <si>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</si>
  <si>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</si>
  <si>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</si>
  <si>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</si>
  <si>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</si>
  <si>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</si>
  <si>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</si>
  <si>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</si>
  <si>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</si>
  <si>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</si>
  <si>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</si>
  <si>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</si>
  <si>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</si>
  <si>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</si>
  <si>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</si>
  <si>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</si>
  <si>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</si>
  <si>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</si>
  <si>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</si>
  <si>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</si>
  <si>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</si>
  <si>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</si>
  <si>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</si>
  <si>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</si>
  <si>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</si>
  <si>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</si>
  <si>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</si>
  <si>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</si>
  <si>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</si>
  <si>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</si>
  <si>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</si>
  <si>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</si>
  <si>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</si>
  <si>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</si>
  <si>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fund through which disbursements will ultimately be made. The more significant transfers include:</t>
  </si>
  <si>
    <t>General Debt Service Fund</t>
  </si>
  <si>
    <t>Revenue Bond Tax Fund</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</si>
  <si>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</si>
  <si>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</si>
  <si>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</si>
  <si>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</si>
  <si>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</si>
  <si>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</si>
  <si>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</si>
  <si>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</si>
  <si>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</si>
  <si>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</si>
  <si>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</si>
  <si>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</si>
  <si>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</si>
  <si>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</si>
  <si>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</si>
  <si>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</si>
  <si>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</si>
  <si>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</si>
  <si>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</si>
  <si>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</si>
  <si>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</si>
  <si>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</si>
  <si>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</si>
  <si>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</si>
  <si>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</si>
  <si>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</si>
  <si>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</si>
  <si>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</si>
  <si>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</si>
  <si>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</si>
  <si>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</si>
  <si>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</si>
  <si>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</si>
  <si>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</si>
  <si>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</si>
  <si>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</si>
  <si>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</si>
  <si>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</si>
  <si>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</si>
  <si>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</si>
  <si>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</si>
  <si>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</si>
  <si>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</si>
  <si>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</si>
  <si>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</si>
  <si>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</si>
  <si>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</si>
  <si>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</si>
  <si>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</si>
  <si>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</si>
  <si>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</si>
  <si>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</si>
  <si>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</si>
  <si>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</si>
  <si>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</si>
  <si>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</si>
  <si>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</si>
  <si>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</si>
  <si>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</si>
  <si>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</si>
  <si>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</si>
  <si>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</si>
  <si>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</si>
  <si>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</si>
  <si>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</si>
  <si>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</si>
  <si>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</si>
  <si>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</si>
  <si>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t>
  </si>
  <si>
    <t>Please refer to Schedule 1 for a detailed analysis of the 'reported' cash balances of the fund group.</t>
  </si>
  <si>
    <t>SCHEDULE OF MONTH-END TEMPORARY LOANS OUTSTANDING(*)</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</si>
  <si>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</si>
  <si>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</si>
  <si>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</si>
  <si>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</si>
  <si>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</si>
  <si>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</si>
  <si>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</si>
  <si>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</si>
  <si>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</si>
  <si>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</si>
  <si>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</si>
  <si>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</si>
  <si>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</si>
  <si>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</si>
  <si>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</si>
  <si>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</si>
  <si>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</si>
  <si>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</si>
  <si>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</si>
  <si>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</si>
  <si>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</si>
  <si>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</si>
  <si>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</si>
  <si>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</si>
  <si>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</si>
  <si>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</si>
  <si>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</si>
  <si>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</si>
  <si>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</si>
  <si>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</si>
  <si>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</si>
  <si>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</si>
  <si>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</si>
  <si>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</si>
  <si>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</si>
  <si>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</si>
  <si>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</si>
  <si>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</si>
  <si>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</si>
  <si>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</si>
  <si>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</si>
  <si>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</si>
  <si>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</si>
  <si>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</si>
  <si>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</si>
  <si>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</si>
  <si>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</si>
  <si>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</si>
  <si>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</si>
  <si>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</si>
  <si>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</si>
  <si>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</si>
  <si>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</si>
  <si>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</si>
  <si>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</si>
  <si>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</si>
  <si>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</si>
  <si>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</si>
  <si>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</si>
  <si>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</si>
  <si>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</si>
  <si>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</si>
  <si>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</si>
  <si>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</si>
  <si>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</si>
  <si>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</si>
  <si>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</si>
  <si>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</si>
  <si>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</si>
  <si>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</si>
  <si>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</si>
  <si>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</si>
  <si>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</si>
  <si>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</si>
  <si>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</si>
  <si>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</si>
  <si>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</si>
  <si>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</si>
  <si>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</si>
  <si>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</si>
  <si>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</si>
  <si>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</si>
  <si>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</si>
  <si>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</si>
  <si>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</si>
  <si>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</si>
  <si>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</si>
  <si>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</si>
  <si>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</si>
  <si>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</si>
  <si>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</si>
  <si>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</si>
  <si>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</si>
  <si>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</si>
  <si>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</si>
  <si>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</si>
  <si>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</si>
  <si>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</si>
  <si>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</si>
  <si>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</si>
  <si>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</si>
  <si>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</si>
  <si>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</si>
  <si>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(1)</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</si>
  <si>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</si>
  <si>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</si>
  <si>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</si>
  <si>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</si>
  <si>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</si>
  <si>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</si>
  <si>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</si>
  <si>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</si>
  <si>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</si>
  <si>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Does not include 0% Compensating Balance CDs.</t>
  </si>
  <si>
    <t xml:space="preserve">  31950-31999-DOT Engineering Services</t>
  </si>
  <si>
    <t>EXHIBIT A NOTES</t>
  </si>
  <si>
    <t>NY METROPOLITAN TRANSPORTATION COUNCIL</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</si>
  <si>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</si>
  <si>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</si>
  <si>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</si>
  <si>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</si>
  <si>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</si>
  <si>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</si>
  <si>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</si>
  <si>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</si>
  <si>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</si>
  <si>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MATERNITY AND EARLY CHHOOD FOUNDATION</t>
  </si>
  <si>
    <t xml:space="preserve">     DIAGNOSTIC AND TREATMENT CTR UNCOMPENSATED CARE</t>
  </si>
  <si>
    <t xml:space="preserve">     HCRA PAYOR/PROVIDER AUDITS</t>
  </si>
  <si>
    <t xml:space="preserve">     BREAST AND CERVICAL CANCER </t>
  </si>
  <si>
    <t xml:space="preserve">     PART 405.4 HOSPITAL AUDITS</t>
  </si>
  <si>
    <t xml:space="preserve">           Total Program Disbursements</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</si>
  <si>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</si>
  <si>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</si>
  <si>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</si>
  <si>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</si>
  <si>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</si>
  <si>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</si>
  <si>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</si>
  <si>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</si>
  <si>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</si>
  <si>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</si>
  <si>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</si>
  <si>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</si>
  <si>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</si>
  <si>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</si>
  <si>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</si>
  <si>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</si>
  <si>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</si>
  <si>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</si>
  <si>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</si>
  <si>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</si>
  <si>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</si>
  <si>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</si>
  <si>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Community Enhancement Facilities Assistance Program (CEFAP)</t>
  </si>
  <si>
    <t xml:space="preserve">Urban Development Corporation (Youth Facilities) </t>
  </si>
  <si>
    <t xml:space="preserve">Dormitory Authority (Mental Hygiene)  </t>
  </si>
  <si>
    <t xml:space="preserve">of medical assistance payments previously made from appropriated State and Federal funds.  These monies  </t>
  </si>
  <si>
    <t xml:space="preserve">CAPITAL PROJECTS FUNDS - COMBINED  </t>
  </si>
  <si>
    <t xml:space="preserve">  60050-60149-School Capital Facilities Financing Reserve   </t>
  </si>
  <si>
    <t xml:space="preserve">           Rapid Transit and Rail Freight     </t>
  </si>
  <si>
    <t xml:space="preserve">are initially credited to an agency escrow account and shortly after receipt are allocated and refunded to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</si>
  <si>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</si>
  <si>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</si>
  <si>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</si>
  <si>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</si>
  <si>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</si>
  <si>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</si>
  <si>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</si>
  <si>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</si>
  <si>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</si>
  <si>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</si>
  <si>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</si>
  <si>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</si>
  <si>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</si>
  <si>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</si>
  <si>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</si>
  <si>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</si>
  <si>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</si>
  <si>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</si>
  <si>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</si>
  <si>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</si>
  <si>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</si>
  <si>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</si>
  <si>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</si>
  <si>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</si>
  <si>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</si>
  <si>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</si>
  <si>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</si>
  <si>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</si>
  <si>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</si>
  <si>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</si>
  <si>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</si>
  <si>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</si>
  <si>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</si>
  <si>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</si>
  <si>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</si>
  <si>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</si>
  <si>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</si>
  <si>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</si>
  <si>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</si>
  <si>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</si>
  <si>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</si>
  <si>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</si>
  <si>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</si>
  <si>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</si>
  <si>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</si>
  <si>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</si>
  <si>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</si>
  <si>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</si>
  <si>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</si>
  <si>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</si>
  <si>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</si>
  <si>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</si>
  <si>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</si>
  <si>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</si>
  <si>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</si>
  <si>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</si>
  <si>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</si>
  <si>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</si>
  <si>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</si>
  <si>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</si>
  <si>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</si>
  <si>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</si>
  <si>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</si>
  <si>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</si>
  <si>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</si>
  <si>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</si>
  <si>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</si>
  <si>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</si>
  <si>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</si>
  <si>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</si>
  <si>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</si>
  <si>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</si>
  <si>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</si>
  <si>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</si>
  <si>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</si>
  <si>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</si>
  <si>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</si>
  <si>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</si>
  <si>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</si>
  <si>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</si>
  <si>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</si>
  <si>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</si>
  <si>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</si>
  <si>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</si>
  <si>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</si>
  <si>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</si>
  <si>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EXHIBIT J</t>
  </si>
  <si>
    <t xml:space="preserve">   Taxes: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</si>
  <si>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</si>
  <si>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</si>
  <si>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</si>
  <si>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</si>
  <si>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</si>
  <si>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</si>
  <si>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</si>
  <si>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</si>
  <si>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</si>
  <si>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</si>
  <si>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</si>
  <si>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</si>
  <si>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</si>
  <si>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</si>
  <si>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</si>
  <si>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</si>
  <si>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</si>
  <si>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</si>
  <si>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</si>
  <si>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</si>
  <si>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</si>
  <si>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</si>
  <si>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</si>
  <si>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</si>
  <si>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</si>
  <si>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</si>
  <si>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</si>
  <si>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</si>
  <si>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</si>
  <si>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</si>
  <si>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</si>
  <si>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</si>
  <si>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</si>
  <si>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</si>
  <si>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</si>
  <si>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</si>
  <si>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</si>
  <si>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</si>
  <si>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</si>
  <si>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</si>
  <si>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</si>
  <si>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</si>
  <si>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</si>
  <si>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</si>
  <si>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</si>
  <si>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</si>
  <si>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</si>
  <si>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</si>
  <si>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</si>
  <si>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</si>
  <si>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</si>
  <si>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</si>
  <si>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</si>
  <si>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</si>
  <si>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</si>
  <si>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</si>
  <si>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</si>
  <si>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</si>
  <si>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</si>
  <si>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</si>
  <si>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</si>
  <si>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</si>
  <si>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</si>
  <si>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</si>
  <si>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</si>
  <si>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</si>
  <si>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</si>
  <si>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</si>
  <si>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</si>
  <si>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</si>
  <si>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</si>
  <si>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</si>
  <si>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</si>
  <si>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</si>
  <si>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</si>
  <si>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</si>
  <si>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</si>
  <si>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</si>
  <si>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</si>
  <si>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</si>
  <si>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</si>
  <si>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</si>
  <si>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</si>
  <si>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</si>
  <si>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</si>
  <si>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</si>
  <si>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</si>
  <si>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</si>
  <si>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</si>
  <si>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</si>
  <si>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</si>
  <si>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</si>
  <si>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</si>
  <si>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</si>
  <si>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</si>
  <si>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     PART 405.4 HOSPITAL AUDITS NYCRR</t>
  </si>
  <si>
    <t xml:space="preserve">STATEMENT OF RECEIPTS AND DISBURSEMENTS BY ACCOUNT       </t>
  </si>
  <si>
    <t xml:space="preserve">SPECIAL REVENUE FUNDS - COMBINED  </t>
  </si>
  <si>
    <t xml:space="preserve">(Amounts in millions)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</si>
  <si>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</si>
  <si>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</si>
  <si>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</si>
  <si>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</si>
  <si>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</si>
  <si>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</si>
  <si>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</si>
  <si>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</si>
  <si>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</si>
  <si>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</si>
  <si>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</si>
  <si>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</si>
  <si>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</si>
  <si>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</si>
  <si>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</si>
  <si>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</si>
  <si>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</si>
  <si>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</si>
  <si>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Other Financing Sources (Uses)   </t>
  </si>
  <si>
    <t xml:space="preserve">Ending Fund Balance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</si>
  <si>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</si>
  <si>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</si>
  <si>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</si>
  <si>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</si>
  <si>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</si>
  <si>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</si>
  <si>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</si>
  <si>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</si>
  <si>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</si>
  <si>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</si>
  <si>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</si>
  <si>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</si>
  <si>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30700-30709-State Housing Bond</t>
  </si>
  <si>
    <t xml:space="preserve">     TOTAL AGENCY FUNDS   </t>
  </si>
  <si>
    <t xml:space="preserve">TOTAL FIDUCIARY FUNDS    </t>
  </si>
  <si>
    <t xml:space="preserve">      Allocation of Month-End Balances </t>
  </si>
  <si>
    <t xml:space="preserve">Special Revenue - Federal  </t>
  </si>
  <si>
    <t xml:space="preserve">At month end, the following balances remained in agency escrow accounts.  For accounting purposes, </t>
  </si>
  <si>
    <t xml:space="preserve">adjustments have been made to reduce medical assistance spending and count these monies as financial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</si>
  <si>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</si>
  <si>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</si>
  <si>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</si>
  <si>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</si>
  <si>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</si>
  <si>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</si>
  <si>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</si>
  <si>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ELDERLY PHARMACEUTICAL INSURANCE COVERAGE</t>
  </si>
  <si>
    <t xml:space="preserve">                  Total Miscellaneous Receipts           </t>
  </si>
  <si>
    <t xml:space="preserve">                  Total Consumption/Use Taxes                </t>
  </si>
  <si>
    <t xml:space="preserve">                  Total Business Taxes             </t>
  </si>
  <si>
    <t xml:space="preserve">                  Total Other Taxes                   </t>
  </si>
  <si>
    <t xml:space="preserve">                  Total Taxes                </t>
  </si>
  <si>
    <t xml:space="preserve">                  Total Business Taxes                </t>
  </si>
  <si>
    <t xml:space="preserve">                  Total Other Taxes                 </t>
  </si>
  <si>
    <t xml:space="preserve">      Transformative Economic Development Projects</t>
  </si>
  <si>
    <t xml:space="preserve">      Thruway Stabilization Program</t>
  </si>
  <si>
    <t xml:space="preserve">      Southern Tier / Hudson Valley Farm Initiative</t>
  </si>
  <si>
    <t xml:space="preserve">      Penn Station Access</t>
  </si>
  <si>
    <t xml:space="preserve">      Infrastructure Improvements</t>
  </si>
  <si>
    <t xml:space="preserve">      Broadband Initiative</t>
  </si>
  <si>
    <t xml:space="preserve">   Transfers from General Fund (**)</t>
  </si>
  <si>
    <t>DEDICATED INFRASTRUCTURE INVESTMENT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</si>
  <si>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</si>
  <si>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</si>
  <si>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</si>
  <si>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</si>
  <si>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</si>
  <si>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</si>
  <si>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</si>
  <si>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</si>
  <si>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</si>
  <si>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</si>
  <si>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</si>
  <si>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</si>
  <si>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</si>
  <si>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</si>
  <si>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TOTAL APPROPRIATED AMOUNT</t>
  </si>
  <si>
    <r>
      <t xml:space="preserve">(*)    Fund created pursuant to Chapter 60, Laws of 2015-16, Part H and SFL  </t>
    </r>
    <r>
      <rPr>
        <sz val="11"/>
        <rFont val="Agency FB"/>
        <family val="2"/>
      </rPr>
      <t>§</t>
    </r>
    <r>
      <rPr>
        <sz val="11"/>
        <rFont val="Arial"/>
        <family val="2"/>
      </rPr>
      <t xml:space="preserve"> 93-b</t>
    </r>
  </si>
  <si>
    <t xml:space="preserve">         Consolidated Service Contract Refunding</t>
  </si>
  <si>
    <t xml:space="preserve">         DASNY Revenue Bond</t>
  </si>
  <si>
    <t xml:space="preserve">         SUNY Community Colleges</t>
  </si>
  <si>
    <t xml:space="preserve">         SUNY Educational Facilities</t>
  </si>
  <si>
    <t xml:space="preserve">     Local Government Assistance Corporation</t>
  </si>
  <si>
    <t xml:space="preserve">         Syracuse University Science and</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</si>
  <si>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</si>
  <si>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</si>
  <si>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</si>
  <si>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</si>
  <si>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</si>
  <si>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</si>
  <si>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</si>
  <si>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</si>
  <si>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</si>
  <si>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</si>
  <si>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     REVENUE, PROCESSING &amp; RECONCILIATION</t>
  </si>
  <si>
    <t xml:space="preserve">State bond and note proceeds </t>
  </si>
  <si>
    <t xml:space="preserve">      Resiliency, Mitigation, Security and Emergency Response</t>
  </si>
  <si>
    <t>Eliminations</t>
  </si>
  <si>
    <t>Dedicated Infrastructure Investment Fund</t>
  </si>
  <si>
    <t xml:space="preserve">  Debt Service, Including Payments on  </t>
  </si>
  <si>
    <t xml:space="preserve">COMPARATIVE SCHEDULE OF TAX RECEIPTS    </t>
  </si>
  <si>
    <t xml:space="preserve">(Amounts in millions)        </t>
  </si>
  <si>
    <t xml:space="preserve">  Medical Marihuana</t>
  </si>
  <si>
    <t xml:space="preserve">  23800-23899-Dedicated Miscellaneous State Special Revenue</t>
  </si>
  <si>
    <t xml:space="preserve">Beginning Fund Balance           </t>
  </si>
  <si>
    <t>2017</t>
  </si>
  <si>
    <t>EMPIRE PLAZA GIFT SHOP</t>
  </si>
  <si>
    <t xml:space="preserve">      Transporation Capital Plan</t>
  </si>
  <si>
    <t xml:space="preserve">  </t>
  </si>
  <si>
    <t>NEIGHBOR WORK PROJECT</t>
  </si>
  <si>
    <t>LAKE GEORGE PARK TRUST FUND</t>
  </si>
  <si>
    <t>Intra-Fund</t>
  </si>
  <si>
    <t>Transfer</t>
  </si>
  <si>
    <t>Eliminations (*)</t>
  </si>
  <si>
    <t>(*)      Intra-Fund transfer eliminations represent transfers between Special Revenue-State and Federal Funds.</t>
  </si>
  <si>
    <r>
      <t>Special Revenue Funds</t>
    </r>
    <r>
      <rPr>
        <sz val="9"/>
        <rFont val="Arial"/>
        <family val="2"/>
      </rPr>
      <t xml:space="preserve">  “Transfers To Other Funds” includes transfers to Mental Health Services Fund </t>
    </r>
  </si>
  <si>
    <r>
      <t>General Fund</t>
    </r>
    <r>
      <rPr>
        <b/>
        <sz val="9"/>
        <rFont val="Arial"/>
        <family val="2"/>
      </rPr>
      <t xml:space="preserve">  </t>
    </r>
    <r>
      <rPr>
        <sz val="9"/>
        <rFont val="Arial"/>
        <family val="2"/>
      </rPr>
      <t>“Transfers to Other Funds” are as follows:</t>
    </r>
  </si>
  <si>
    <t>Housing Debt Service Fund</t>
  </si>
  <si>
    <t>Medicaid Recoveries - Audit</t>
  </si>
  <si>
    <t xml:space="preserve">      Affordable and Homeless Housing</t>
  </si>
  <si>
    <t xml:space="preserve">  24950-24999-Interactive Fantasy Sports</t>
  </si>
  <si>
    <t>2018</t>
  </si>
  <si>
    <t>AVIATION PURPOSE ACCOUNT</t>
  </si>
  <si>
    <t>CAPITAL PROJECT MISC GIFTS</t>
  </si>
  <si>
    <t>INTERSTATE RECIPROCITY FOR POST SEC DIST ED</t>
  </si>
  <si>
    <t>HIGHWAY USE TAX ADMIN</t>
  </si>
  <si>
    <t>25250-25299</t>
  </si>
  <si>
    <t>FEDERAL DHHS BLOCK GRANTS</t>
  </si>
  <si>
    <t xml:space="preserve">      Empire State Poverty Reduction Initiatives</t>
  </si>
  <si>
    <t xml:space="preserve">SUMMARY OF CASH RECEIPTS, DISBURSEMENTS AND   </t>
  </si>
  <si>
    <t xml:space="preserve">  23750-23799-Medical Marihuana Trust Fund</t>
  </si>
  <si>
    <t xml:space="preserve">  30710-30719-Smart Schools Bond</t>
  </si>
  <si>
    <t xml:space="preserve">  Smart Schools Bond Act</t>
  </si>
  <si>
    <t xml:space="preserve">SUMMARY OF CASH RECEIPTS, DISBURSEMENTS AND CHANGES IN FUND BALANCES </t>
  </si>
  <si>
    <t>SUMMARY OF CASH RECEIPTS, DISBURSEMENTS AND</t>
  </si>
  <si>
    <t>Exhibit A Notes</t>
  </si>
  <si>
    <t xml:space="preserve">Special Revenue Funds State - Statement of Cash Flow  </t>
  </si>
  <si>
    <t xml:space="preserve">Special Revenue Funds Federal - Statement of Cash Flow  </t>
  </si>
  <si>
    <t xml:space="preserve">Capital Projects Funds State - Statement of Cash Flow  </t>
  </si>
  <si>
    <t xml:space="preserve">Capital Projects Funds Federal - Statement of Cash Flow  </t>
  </si>
  <si>
    <t xml:space="preserve">Summary of Off-Budget Spending Report  </t>
  </si>
  <si>
    <t xml:space="preserve">   Public Health:</t>
  </si>
  <si>
    <t>(*)  Intra-Fund transfer eliminations represent transfers from Capital Projects-State and Federal Funds.</t>
  </si>
  <si>
    <t xml:space="preserve">      Information Technology/Infrastructure fpr Behavioral Sciences</t>
  </si>
  <si>
    <t xml:space="preserve">      Jacob Javits Center Expansion</t>
  </si>
  <si>
    <t xml:space="preserve">     Indigent Care Fund - Matched</t>
  </si>
  <si>
    <t xml:space="preserve">     Indigent Care Fund - Unmatched</t>
  </si>
  <si>
    <t xml:space="preserve">           Clean Water </t>
  </si>
  <si>
    <t xml:space="preserve">           Low Income</t>
  </si>
  <si>
    <t xml:space="preserve">      Municipal Restructuring / Consolidation Competition</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</si>
  <si>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</si>
  <si>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January 31, 2018</t>
  </si>
  <si>
    <t>February 28, 2018</t>
  </si>
  <si>
    <t>CIVIL RECOVERIES ACCT</t>
  </si>
  <si>
    <t>March 31, 2018</t>
  </si>
  <si>
    <t xml:space="preserve">      Downtown Revitalization</t>
  </si>
  <si>
    <t xml:space="preserve">      Life Sciences Initiative</t>
  </si>
  <si>
    <t xml:space="preserve">DEBT MATURED </t>
  </si>
  <si>
    <t>DEBT ISSUED</t>
  </si>
  <si>
    <t xml:space="preserve">     PHYSICIAN LOAN REPAYMENT AND PRACTICE SUPPORT </t>
  </si>
  <si>
    <t xml:space="preserve">     Reclass of SUNY Hospital Poison Control Centers to Transfer</t>
  </si>
  <si>
    <t xml:space="preserve">     Reclass of SUNY Empire Clinical Research Investigator Program to Transfer</t>
  </si>
  <si>
    <t>1 Month Ended</t>
  </si>
  <si>
    <t>April 30, 2018</t>
  </si>
  <si>
    <t>APR. 2018</t>
  </si>
  <si>
    <t>1 MO. ENDED</t>
  </si>
  <si>
    <t>APR. 30, 2018</t>
  </si>
  <si>
    <t>APR. 2017</t>
  </si>
  <si>
    <t>APR. 30, 2017</t>
  </si>
  <si>
    <t>FISCAL YEAR 2018-2019</t>
  </si>
  <si>
    <t>FOR ONE MONTH ENDED APRIL 30, 2018</t>
  </si>
  <si>
    <t>Fund Balances (Deficits) at April 30, 2018</t>
  </si>
  <si>
    <t>2019</t>
  </si>
  <si>
    <t>1 Month Ended April 30</t>
  </si>
  <si>
    <t>FOR THE MONTH OF APRIL 2018</t>
  </si>
  <si>
    <t>APRIL 1, 2018</t>
  </si>
  <si>
    <t>APRIL 30, 2018</t>
  </si>
  <si>
    <t>APR. 1, 2018</t>
  </si>
  <si>
    <t>1 MONTH ENDED</t>
  </si>
  <si>
    <t xml:space="preserve">FOR THE ONE MONTH ENDED APRIL 30, 2018     </t>
  </si>
  <si>
    <t>FISCAL YEAR 2018-19</t>
  </si>
  <si>
    <t>2018-19</t>
  </si>
  <si>
    <t>NY ENVIRONMENTAL PROTECTION &amp; SPILL REMEDIATION</t>
  </si>
  <si>
    <t>UTILITY ENVIRONMENTAL REGULATORY ACCOUNT</t>
  </si>
  <si>
    <t>COURTS SPECIAL GRANTS</t>
  </si>
  <si>
    <t>NYS SECURE CHOICE ADMIN</t>
  </si>
  <si>
    <t>FANTASY SPORTS ADMINISTRATION</t>
  </si>
  <si>
    <t>Temporary Loan authorized pursuant to Subdivision 5 of Section 4 of the State Finance Law and Chapter 59, Part XXX, Section 1, of the Laws of 2017-18.</t>
  </si>
  <si>
    <t>Temporary Loans are authorized pursuant to Subdivision 5 of Section 4 of the State Finance Law and Chapter 59, Part BBB, Section 1, of the Laws of 2018-19.</t>
  </si>
  <si>
    <t>(**)   Pursuant to Section 93(b) of the State Finance Law</t>
  </si>
  <si>
    <t>April 2018</t>
  </si>
  <si>
    <t xml:space="preserve">the current fiscal quarter.  As of April 30, 2018 - pursuant to a certification of the Budget Director - </t>
  </si>
  <si>
    <t>the reserve amount is ($166.4m), which was funded by a transfer from the General Fund.</t>
  </si>
  <si>
    <t>1 MONTH ENDED APRIL 30</t>
  </si>
  <si>
    <t xml:space="preserve">As of April 30, 2018, $9,135,579.77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</si>
  <si>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xml:space="preserve">  Plan</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</si>
  <si>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</si>
  <si>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</si>
  <si>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 xml:space="preserve">                                     STATE OPERATING FUNDS (**)</t>
  </si>
  <si>
    <t xml:space="preserve">(**)  Actual reported transfer amounts include eliminations between Special Revenue - State and Federal Funds. </t>
  </si>
  <si>
    <t>APRIL 2018</t>
  </si>
  <si>
    <t>APRIL 2017</t>
  </si>
  <si>
    <t>Cable Television Account</t>
  </si>
  <si>
    <t xml:space="preserve">operated Health, Mental Hygiene and State University facilities to Debt Service funds ($.6m), the </t>
  </si>
  <si>
    <t xml:space="preserve">and Department of Health Income Fund ($7.9m) representing the federal share of Medicaid payments </t>
  </si>
  <si>
    <t>for patients residing in State-operated Health and Mental Hygiene facilities, SUNY Capital Projects Fund</t>
  </si>
  <si>
    <t xml:space="preserve">April </t>
  </si>
  <si>
    <t>1 Month Ended
April 30, 2018 (**)</t>
  </si>
  <si>
    <t xml:space="preserve">(*) Includes amounts appropriated in SFY 2018-19, as well as prior year appropriations that were reappropriated. </t>
  </si>
  <si>
    <t>4.</t>
  </si>
  <si>
    <t xml:space="preserve">Part UU of Section 11 of Chapter 59 of the Laws of 2018 amended section 805(b) of the tax law, whereby the   </t>
  </si>
  <si>
    <t>authority finance fund pursuant to statute but without appropriation.  The result is that neither the mobility tax</t>
  </si>
  <si>
    <t>receipts nor the related grant disbursements to the MTA are recorded in the State funds.  The MTA mobility tax</t>
  </si>
  <si>
    <t>activity is now reported in Schedule 4.</t>
  </si>
  <si>
    <t xml:space="preserve">receipts from the metropolitan commuter transportation mobility tax will be paid into the metropolitan transportation  </t>
  </si>
  <si>
    <t>(3,4)</t>
  </si>
  <si>
    <t>(*)    Source: 2018-19 Enacted Financial Plan dated May 11, 2018.</t>
  </si>
  <si>
    <t>(*) See Footnotes - Note #4</t>
  </si>
  <si>
    <t>(**) Includes Public Asset Fund resources:</t>
  </si>
  <si>
    <t xml:space="preserve">  70XXX-Mobility Tax Trust Account (*)  </t>
  </si>
  <si>
    <t xml:space="preserve">  70050-70149-Sole Custody Investment (**)  </t>
  </si>
  <si>
    <t xml:space="preserve">  70200-Comptroller's Refund Account  </t>
  </si>
  <si>
    <t>2018-2019</t>
  </si>
  <si>
    <t>($0.4m), All other Capital Projects ($1.0m) and Medicaid Management Information Escrow Fund ($-96.0m).</t>
  </si>
  <si>
    <t xml:space="preserve">of Health ($12.1m). </t>
  </si>
  <si>
    <t>Mental Health Services Fund</t>
  </si>
  <si>
    <r>
      <t>Capital Projects Funds</t>
    </r>
    <r>
      <rPr>
        <sz val="9"/>
        <rFont val="Arial"/>
        <family val="2"/>
      </rPr>
      <t xml:space="preserve"> “Transfers To Other Funds” includes transfers to the General Fund ($1.2m), </t>
    </r>
  </si>
  <si>
    <t xml:space="preserve">(**)  Includes transfers to the Department of Health Income Fund and the State University Income Fund representing payments </t>
  </si>
  <si>
    <t xml:space="preserve">  Transfers from Other Funds(**)</t>
  </si>
  <si>
    <t xml:space="preserve">  Transfers to Other Funds(**)</t>
  </si>
  <si>
    <t xml:space="preserve">       for patients residing in State-Operated Health and State University facilities.</t>
  </si>
  <si>
    <t xml:space="preserve">  Plan </t>
  </si>
  <si>
    <t xml:space="preserve">    PIT / ECET in excess of Revenue Bond Debt Service</t>
  </si>
  <si>
    <t>Mental Hygiene Program Fund</t>
  </si>
  <si>
    <t>State University Income Fund ($8.0m).</t>
  </si>
  <si>
    <t>NYC Assesssment Account</t>
  </si>
  <si>
    <t xml:space="preserve"> and the General Debt Service Fund - Lease Purchase ($24.6m).</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</si>
</sst>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quot;$&quot;#,##0.0"/>
    <numFmt numFmtId="176" formatCode="0.000"/>
    <numFmt numFmtId="177" formatCode="_(* #,##0.000_);_(* \(#,##0.000\);_(* &quot;-&quot;???_);_(@_)"/>
    <numFmt numFmtId="178" formatCode="#,##0.0000000000000_);\(#,##0.0000000000000\)"/>
    <numFmt numFmtId="179" formatCode="m/d/yy;@"/>
    <numFmt numFmtId="180" formatCode="_(&quot;$&quot;* #,##0.000_);_(&quot;$&quot;* \(#,##0.000\);_(&quot;$&quot;* &quot;-&quot;???_);_(@_)"/>
    <numFmt numFmtId="181" formatCode="#,##0.000_);\(#,##0.000\)"/>
    <numFmt numFmtId="182" formatCode="_(* #,##0.000_);_(* \(#,##0.000\);_(* &quot;-&quot;??_);_(@_)"/>
    <numFmt numFmtId="183" formatCode="&quot;$&quot;#,##0.000_);\(&quot;$&quot;#,##0.000\)"/>
    <numFmt numFmtId="184" formatCode="m/d/yy"/>
    <numFmt numFmtId="185" formatCode="0.000_);\(0.000\)"/>
    <numFmt numFmtId="186" formatCode="[$-409]mmmm\ d\,\ yyyy;@"/>
    <numFmt numFmtId="187" formatCode="&quot;$&quot;#,##0.00"/>
    <numFmt numFmtId="188" formatCode="&quot;$&quot;#,##0"/>
    <numFmt numFmtId="189" formatCode="0.000%"/>
    <numFmt numFmtId="190" formatCode="_(* #,##0_);_(* \(#,##0\);_(* &quot;-&quot;??_);_(@_)"/>
    <numFmt numFmtId="191" formatCode="&quot;$&quot;#,##0.0_);[Red]\(&quot;$&quot;#,##0.0\)"/>
    <numFmt numFmtId="192" formatCode="0.0"/>
    <numFmt numFmtId="193" formatCode="[$-409]mmmmm\-yy;@"/>
    <numFmt numFmtId="194" formatCode="_(* #,##0.0_);_(* \(#,##0.0\);_(* &quot;-&quot;??_);_(@_)"/>
    <numFmt numFmtId="195" formatCode="0.0000%"/>
    <numFmt numFmtId="196" formatCode="#,##0.0000"/>
    <numFmt numFmtId="197" formatCode="#,##0.00000_);\(#,##0.00000\)"/>
    <numFmt numFmtId="198" formatCode="0.0_);\(0.0\)"/>
    <numFmt numFmtId="199" formatCode="_(&quot;$&quot;* #,##0_);_(&quot;$&quot;* \(#,##0\);_(&quot;$&quot;* &quot;-&quot;??_);_(@_)"/>
  </numFmts>
  <fonts count="196">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sz val="11"/>
      <name val="Agency FB"/>
      <family val="2"/>
    </font>
    <font>
      <b/>
      <sz val="12"/>
      <name val="Arial"/>
      <family val="2"/>
    </font>
    <font>
      <sz val="11"/>
      <name val="Arial"/>
      <family val="2"/>
    </font>
    <font>
      <b/>
      <sz val="8"/>
      <color rgb="FF000000"/>
      <name val="Courier"/>
      <family val="3"/>
    </font>
    <font>
      <b/>
      <sz val="10"/>
      <color theme="1"/>
      <name val="Courier"/>
      <family val="3"/>
    </font>
    <font>
      <sz val="10"/>
      <color theme="1"/>
      <name val="Courier"/>
      <family val="3"/>
    </font>
    <font>
      <sz val="11"/>
      <name val="SWISS"/>
    </font>
    <font>
      <sz val="12"/>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auto="1"/>
      </top>
      <bottom style="thin">
        <color auto="1"/>
      </bottom>
      <diagonal/>
    </border>
    <border>
      <left/>
      <right style="thin">
        <color indexed="8"/>
      </right>
      <top/>
      <bottom style="thin">
        <color indexed="64"/>
      </bottom>
      <diagonal/>
    </border>
    <border>
      <left/>
      <right style="thin">
        <color indexed="8"/>
      </right>
      <top/>
      <bottom style="double">
        <color indexed="64"/>
      </bottom>
      <diagonal/>
    </border>
    <border>
      <left/>
      <right/>
      <top style="thin">
        <color indexed="8"/>
      </top>
      <bottom/>
      <diagonal/>
    </border>
    <border>
      <left/>
      <right/>
      <top style="thin">
        <color indexed="64"/>
      </top>
      <bottom/>
      <diagonal/>
    </border>
    <border>
      <left/>
      <right/>
      <top style="thin">
        <color indexed="8"/>
      </top>
      <bottom style="thin">
        <color indexed="64"/>
      </bottom>
      <diagonal/>
    </border>
    <border>
      <left/>
      <right/>
      <top style="thin">
        <color indexed="8"/>
      </top>
      <bottom style="double">
        <color indexed="64"/>
      </bottom>
      <diagonal/>
    </border>
    <border>
      <left/>
      <right style="thin">
        <color auto="1"/>
      </right>
      <top/>
      <bottom/>
      <diagonal/>
    </border>
    <border>
      <left/>
      <right/>
      <top style="thin">
        <color indexed="64"/>
      </top>
      <bottom style="thin">
        <color auto="1"/>
      </bottom>
      <diagonal/>
    </border>
  </borders>
  <cellStyleXfs count="25863">
    <xf numFmtId="164" fontId="0" fillId="0" borderId="0"/>
    <xf numFmtId="43" fontId="39" fillId="0" borderId="0" applyFont="0" applyFill="0" applyBorder="0" applyAlignment="0" applyProtection="0"/>
    <xf numFmtId="0" fontId="37" fillId="0" borderId="0"/>
    <xf numFmtId="0" fontId="37" fillId="0" borderId="0"/>
    <xf numFmtId="0" fontId="86" fillId="0" borderId="0"/>
    <xf numFmtId="43" fontId="86"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8" fillId="0" borderId="0"/>
    <xf numFmtId="43" fontId="99" fillId="0" borderId="0" applyFont="0" applyFill="0" applyBorder="0" applyAlignment="0" applyProtection="0"/>
    <xf numFmtId="0" fontId="37" fillId="0" borderId="0"/>
    <xf numFmtId="43" fontId="42" fillId="0" borderId="0" applyFont="0" applyFill="0" applyBorder="0" applyAlignment="0" applyProtection="0"/>
    <xf numFmtId="40" fontId="104" fillId="33" borderId="0">
      <alignment horizontal="right"/>
    </xf>
    <xf numFmtId="0" fontId="105" fillId="33" borderId="0">
      <alignment horizontal="right"/>
    </xf>
    <xf numFmtId="0" fontId="106" fillId="33" borderId="13"/>
    <xf numFmtId="0" fontId="106" fillId="0" borderId="0" applyBorder="0">
      <alignment horizontal="centerContinuous"/>
    </xf>
    <xf numFmtId="0" fontId="107" fillId="0" borderId="0" applyBorder="0">
      <alignment horizontal="centerContinuous"/>
    </xf>
    <xf numFmtId="175" fontId="37" fillId="0" borderId="0"/>
    <xf numFmtId="175"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2" fillId="0" borderId="0"/>
    <xf numFmtId="43" fontId="113"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9" fillId="0" borderId="0"/>
    <xf numFmtId="43" fontId="99" fillId="0" borderId="0" applyFont="0" applyFill="0" applyBorder="0" applyAlignment="0" applyProtection="0"/>
    <xf numFmtId="0" fontId="36" fillId="12"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36" fillId="16"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36" fillId="20"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36" fillId="24"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8"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3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36" fillId="9"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36" fillId="1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36" fillId="17"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36" fillId="21"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6" fillId="25"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6" fillId="29"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26" fillId="3"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30" fillId="6" borderId="4" applyNumberFormat="0" applyAlignment="0" applyProtection="0"/>
    <xf numFmtId="0" fontId="119" fillId="48" borderId="58" applyNumberFormat="0" applyAlignment="0" applyProtection="0"/>
    <xf numFmtId="0" fontId="119" fillId="48" borderId="58" applyNumberFormat="0" applyAlignment="0" applyProtection="0"/>
    <xf numFmtId="0" fontId="32" fillId="7" borderId="7" applyNumberFormat="0" applyAlignment="0" applyProtection="0"/>
    <xf numFmtId="0" fontId="115" fillId="49" borderId="59" applyNumberFormat="0" applyAlignment="0" applyProtection="0"/>
    <xf numFmtId="0" fontId="115" fillId="49" borderId="59" applyNumberFormat="0" applyAlignment="0" applyProtection="0"/>
    <xf numFmtId="0" fontId="3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5" fillId="2" borderId="0" applyNumberFormat="0" applyBorder="0" applyAlignment="0" applyProtection="0"/>
    <xf numFmtId="0" fontId="121" fillId="50" borderId="0" applyNumberFormat="0" applyBorder="0" applyAlignment="0" applyProtection="0"/>
    <xf numFmtId="0" fontId="121" fillId="50" borderId="0" applyNumberFormat="0" applyBorder="0" applyAlignment="0" applyProtection="0"/>
    <xf numFmtId="0" fontId="22" fillId="0" borderId="1" applyNumberFormat="0" applyFill="0" applyAlignment="0" applyProtection="0"/>
    <xf numFmtId="0" fontId="122" fillId="0" borderId="60" applyNumberFormat="0" applyFill="0" applyAlignment="0" applyProtection="0"/>
    <xf numFmtId="0" fontId="122" fillId="0" borderId="60" applyNumberFormat="0" applyFill="0" applyAlignment="0" applyProtection="0"/>
    <xf numFmtId="0" fontId="23" fillId="0" borderId="2" applyNumberFormat="0" applyFill="0" applyAlignment="0" applyProtection="0"/>
    <xf numFmtId="0" fontId="123" fillId="0" borderId="61" applyNumberFormat="0" applyFill="0" applyAlignment="0" applyProtection="0"/>
    <xf numFmtId="0" fontId="123" fillId="0" borderId="61" applyNumberFormat="0" applyFill="0" applyAlignment="0" applyProtection="0"/>
    <xf numFmtId="0" fontId="24" fillId="0" borderId="3" applyNumberFormat="0" applyFill="0" applyAlignment="0" applyProtection="0"/>
    <xf numFmtId="0" fontId="124" fillId="0" borderId="62" applyNumberFormat="0" applyFill="0" applyAlignment="0" applyProtection="0"/>
    <xf numFmtId="0" fontId="124" fillId="0" borderId="62" applyNumberFormat="0" applyFill="0" applyAlignment="0" applyProtection="0"/>
    <xf numFmtId="0" fontId="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28" fillId="5" borderId="4" applyNumberFormat="0" applyAlignment="0" applyProtection="0"/>
    <xf numFmtId="0" fontId="125" fillId="51" borderId="58" applyNumberFormat="0" applyAlignment="0" applyProtection="0"/>
    <xf numFmtId="0" fontId="125" fillId="51" borderId="58" applyNumberFormat="0" applyAlignment="0" applyProtection="0"/>
    <xf numFmtId="0" fontId="31" fillId="0" borderId="6" applyNumberFormat="0" applyFill="0" applyAlignment="0" applyProtection="0"/>
    <xf numFmtId="0" fontId="126" fillId="0" borderId="63" applyNumberFormat="0" applyFill="0" applyAlignment="0" applyProtection="0"/>
    <xf numFmtId="0" fontId="126" fillId="0" borderId="63" applyNumberFormat="0" applyFill="0" applyAlignment="0" applyProtection="0"/>
    <xf numFmtId="0" fontId="27" fillId="4" borderId="0" applyNumberFormat="0" applyBorder="0" applyAlignment="0" applyProtection="0"/>
    <xf numFmtId="0" fontId="127" fillId="52" borderId="0" applyNumberFormat="0" applyBorder="0" applyAlignment="0" applyProtection="0"/>
    <xf numFmtId="0" fontId="127" fillId="52" borderId="0" applyNumberFormat="0" applyBorder="0" applyAlignment="0" applyProtection="0"/>
    <xf numFmtId="0" fontId="20" fillId="0" borderId="0"/>
    <xf numFmtId="0" fontId="29" fillId="6" borderId="5" applyNumberFormat="0" applyAlignment="0" applyProtection="0"/>
    <xf numFmtId="0" fontId="128" fillId="48" borderId="64" applyNumberFormat="0" applyAlignment="0" applyProtection="0"/>
    <xf numFmtId="0" fontId="128" fillId="48" borderId="64" applyNumberFormat="0" applyAlignment="0" applyProtection="0"/>
    <xf numFmtId="0" fontId="2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5" fillId="0" borderId="9" applyNumberFormat="0" applyFill="0" applyAlignment="0" applyProtection="0"/>
    <xf numFmtId="0" fontId="57" fillId="0" borderId="65" applyNumberFormat="0" applyFill="0" applyAlignment="0" applyProtection="0"/>
    <xf numFmtId="0" fontId="57" fillId="0" borderId="65" applyNumberFormat="0" applyFill="0" applyAlignment="0" applyProtection="0"/>
    <xf numFmtId="0" fontId="3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9" fillId="0" borderId="0"/>
    <xf numFmtId="0" fontId="37" fillId="0" borderId="0"/>
    <xf numFmtId="0" fontId="148" fillId="0" borderId="0" applyNumberFormat="0" applyFill="0" applyBorder="0" applyAlignment="0" applyProtection="0">
      <alignment vertical="top"/>
      <protection locked="0"/>
    </xf>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5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5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3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0" fillId="5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7" fillId="0" borderId="0" applyFont="0" applyFill="0" applyBorder="0" applyAlignment="0" applyProtection="0"/>
    <xf numFmtId="43" fontId="98" fillId="0" borderId="0" applyFont="0" applyFill="0" applyBorder="0" applyAlignment="0" applyProtection="0"/>
    <xf numFmtId="44" fontId="98" fillId="0" borderId="0" applyFont="0" applyFill="0" applyBorder="0" applyAlignment="0" applyProtection="0"/>
    <xf numFmtId="44" fontId="98" fillId="0" borderId="0" applyFont="0" applyFill="0" applyBorder="0" applyAlignment="0" applyProtection="0"/>
    <xf numFmtId="0" fontId="152" fillId="0" borderId="0"/>
    <xf numFmtId="0" fontId="17" fillId="0" borderId="0"/>
    <xf numFmtId="0" fontId="17" fillId="0" borderId="0"/>
    <xf numFmtId="0" fontId="17" fillId="0" borderId="0"/>
    <xf numFmtId="0" fontId="98" fillId="0" borderId="0"/>
    <xf numFmtId="0" fontId="1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98" fillId="0" borderId="0"/>
    <xf numFmtId="0" fontId="151" fillId="0" borderId="0"/>
    <xf numFmtId="0" fontId="151" fillId="0" borderId="0"/>
    <xf numFmtId="0" fontId="17" fillId="0" borderId="0"/>
    <xf numFmtId="0" fontId="37" fillId="0" borderId="0"/>
    <xf numFmtId="0" fontId="150" fillId="58"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50" fillId="58"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3"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5"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8"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8"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5" fillId="0" borderId="0" applyFont="0" applyFill="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53"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47"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0"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5"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1"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8"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39"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4"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6"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8"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75" fontId="37" fillId="0" borderId="0"/>
    <xf numFmtId="0" fontId="113" fillId="0" borderId="0"/>
    <xf numFmtId="0" fontId="113" fillId="0" borderId="0"/>
    <xf numFmtId="0" fontId="113" fillId="0" borderId="0"/>
    <xf numFmtId="0" fontId="37" fillId="0" borderId="0"/>
    <xf numFmtId="0" fontId="113" fillId="0" borderId="0"/>
    <xf numFmtId="0" fontId="37" fillId="0" borderId="0"/>
    <xf numFmtId="0" fontId="37" fillId="0" borderId="0"/>
    <xf numFmtId="0" fontId="37" fillId="0" borderId="0"/>
    <xf numFmtId="0" fontId="37" fillId="0" borderId="0"/>
    <xf numFmtId="0" fontId="37" fillId="0" borderId="0"/>
    <xf numFmtId="0" fontId="98" fillId="0" borderId="0"/>
    <xf numFmtId="0" fontId="113" fillId="0" borderId="0"/>
    <xf numFmtId="0" fontId="113" fillId="0" borderId="0"/>
    <xf numFmtId="0" fontId="113" fillId="0" borderId="0"/>
    <xf numFmtId="0" fontId="113" fillId="0" borderId="0"/>
    <xf numFmtId="0" fontId="37"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13" fillId="58" borderId="69" applyNumberFormat="0" applyFont="0" applyAlignment="0" applyProtection="0"/>
    <xf numFmtId="0" fontId="106" fillId="33" borderId="73"/>
    <xf numFmtId="0" fontId="42" fillId="0" borderId="0"/>
    <xf numFmtId="0" fontId="106" fillId="33" borderId="73"/>
    <xf numFmtId="175"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6" fillId="0" borderId="0"/>
    <xf numFmtId="0" fontId="106" fillId="33" borderId="83"/>
    <xf numFmtId="0" fontId="176" fillId="0" borderId="0"/>
    <xf numFmtId="0" fontId="13" fillId="0" borderId="0"/>
    <xf numFmtId="0" fontId="176" fillId="0" borderId="0"/>
    <xf numFmtId="0" fontId="176" fillId="0" borderId="0"/>
    <xf numFmtId="0" fontId="12" fillId="0" borderId="0"/>
    <xf numFmtId="0" fontId="177" fillId="0" borderId="0"/>
    <xf numFmtId="43" fontId="178" fillId="0" borderId="0" applyFont="0" applyFill="0" applyBorder="0" applyAlignment="0" applyProtection="0"/>
    <xf numFmtId="0" fontId="177" fillId="0" borderId="0"/>
    <xf numFmtId="43" fontId="177" fillId="0" borderId="0" applyFont="0" applyFill="0" applyBorder="0" applyAlignment="0" applyProtection="0"/>
    <xf numFmtId="0" fontId="177" fillId="0" borderId="0"/>
    <xf numFmtId="0" fontId="12" fillId="0" borderId="0"/>
    <xf numFmtId="0" fontId="177" fillId="0" borderId="0"/>
    <xf numFmtId="43" fontId="177" fillId="0" borderId="0" applyFont="0" applyFill="0" applyBorder="0" applyAlignment="0" applyProtection="0"/>
    <xf numFmtId="0" fontId="179" fillId="0" borderId="0"/>
    <xf numFmtId="0" fontId="177" fillId="0" borderId="0"/>
    <xf numFmtId="0" fontId="177" fillId="0" borderId="0"/>
    <xf numFmtId="0" fontId="177" fillId="0" borderId="0"/>
    <xf numFmtId="0" fontId="12" fillId="0" borderId="0"/>
    <xf numFmtId="0" fontId="177" fillId="0" borderId="0"/>
    <xf numFmtId="0" fontId="179" fillId="0" borderId="0"/>
    <xf numFmtId="0" fontId="176" fillId="0" borderId="0"/>
    <xf numFmtId="0" fontId="176" fillId="0" borderId="0"/>
    <xf numFmtId="0" fontId="11" fillId="0" borderId="0"/>
    <xf numFmtId="0" fontId="176" fillId="0" borderId="0"/>
    <xf numFmtId="0" fontId="176" fillId="0" borderId="0"/>
    <xf numFmtId="0" fontId="11" fillId="0" borderId="0"/>
    <xf numFmtId="0" fontId="11" fillId="0" borderId="0"/>
    <xf numFmtId="0" fontId="42" fillId="0" borderId="0"/>
    <xf numFmtId="0" fontId="10" fillId="0" borderId="0"/>
    <xf numFmtId="0" fontId="177" fillId="0" borderId="0"/>
    <xf numFmtId="0" fontId="177" fillId="0" borderId="0"/>
    <xf numFmtId="0" fontId="177" fillId="0" borderId="0"/>
    <xf numFmtId="0" fontId="180" fillId="0" borderId="0"/>
    <xf numFmtId="0" fontId="180" fillId="0" borderId="0"/>
    <xf numFmtId="0" fontId="9" fillId="0" borderId="0"/>
    <xf numFmtId="0" fontId="9" fillId="0" borderId="0"/>
    <xf numFmtId="43" fontId="42" fillId="0" borderId="0" applyFont="0" applyFill="0" applyBorder="0" applyAlignment="0" applyProtection="0"/>
    <xf numFmtId="0" fontId="9" fillId="0" borderId="0"/>
    <xf numFmtId="0" fontId="180" fillId="0" borderId="0"/>
    <xf numFmtId="0" fontId="180" fillId="0" borderId="0"/>
    <xf numFmtId="0" fontId="8" fillId="0" borderId="0"/>
    <xf numFmtId="0" fontId="8" fillId="0" borderId="0"/>
    <xf numFmtId="0" fontId="8" fillId="0" borderId="0"/>
    <xf numFmtId="0" fontId="180" fillId="0" borderId="0"/>
    <xf numFmtId="0" fontId="177" fillId="0" borderId="0"/>
    <xf numFmtId="0" fontId="7" fillId="0" borderId="0"/>
    <xf numFmtId="0" fontId="177" fillId="0" borderId="0"/>
    <xf numFmtId="0" fontId="177" fillId="0" borderId="0"/>
    <xf numFmtId="0" fontId="177" fillId="0" borderId="0"/>
    <xf numFmtId="0" fontId="7" fillId="0" borderId="0"/>
    <xf numFmtId="0" fontId="177" fillId="0" borderId="0"/>
    <xf numFmtId="0" fontId="177" fillId="0" borderId="0"/>
    <xf numFmtId="164" fontId="181"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8" fillId="0" borderId="0"/>
    <xf numFmtId="175"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9" fillId="48" borderId="88" applyNumberFormat="0" applyAlignment="0" applyProtection="0"/>
    <xf numFmtId="0" fontId="119" fillId="48" borderId="88" applyNumberFormat="0" applyAlignment="0" applyProtection="0"/>
    <xf numFmtId="0" fontId="125" fillId="51" borderId="88" applyNumberFormat="0" applyAlignment="0" applyProtection="0"/>
    <xf numFmtId="0" fontId="125" fillId="51" borderId="88" applyNumberFormat="0" applyAlignment="0" applyProtection="0"/>
    <xf numFmtId="0" fontId="7" fillId="0" borderId="0"/>
    <xf numFmtId="0" fontId="177" fillId="0" borderId="0"/>
    <xf numFmtId="0" fontId="128" fillId="48" borderId="89" applyNumberFormat="0" applyAlignment="0" applyProtection="0"/>
    <xf numFmtId="0" fontId="128" fillId="48" borderId="89" applyNumberFormat="0" applyAlignment="0" applyProtection="0"/>
    <xf numFmtId="0" fontId="57" fillId="0" borderId="90" applyNumberFormat="0" applyFill="0" applyAlignment="0" applyProtection="0"/>
    <xf numFmtId="0" fontId="57" fillId="0" borderId="90" applyNumberFormat="0" applyFill="0" applyAlignment="0" applyProtection="0"/>
    <xf numFmtId="0" fontId="180"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0" fillId="58"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50" fillId="58"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6" fillId="33" borderId="83"/>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7" fillId="0" borderId="0"/>
    <xf numFmtId="0" fontId="42" fillId="0" borderId="0"/>
    <xf numFmtId="0" fontId="7" fillId="0" borderId="0"/>
    <xf numFmtId="0" fontId="42" fillId="0" borderId="0"/>
    <xf numFmtId="0" fontId="42" fillId="0" borderId="0"/>
    <xf numFmtId="0" fontId="7" fillId="0" borderId="0"/>
    <xf numFmtId="0" fontId="7" fillId="0" borderId="0"/>
    <xf numFmtId="0" fontId="177" fillId="0" borderId="0"/>
    <xf numFmtId="0" fontId="7" fillId="0" borderId="0"/>
    <xf numFmtId="0" fontId="177"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2" fillId="0" borderId="0"/>
    <xf numFmtId="0" fontId="182" fillId="0" borderId="0"/>
    <xf numFmtId="0" fontId="6" fillId="0" borderId="0"/>
    <xf numFmtId="0" fontId="6" fillId="0" borderId="0"/>
    <xf numFmtId="175"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3" fillId="0" borderId="0"/>
    <xf numFmtId="0" fontId="183" fillId="0" borderId="0"/>
    <xf numFmtId="0" fontId="5" fillId="0" borderId="0"/>
    <xf numFmtId="0" fontId="5" fillId="0" borderId="0"/>
    <xf numFmtId="0" fontId="183" fillId="0" borderId="0"/>
    <xf numFmtId="0" fontId="183" fillId="0" borderId="0"/>
    <xf numFmtId="0" fontId="183" fillId="0" borderId="0"/>
    <xf numFmtId="0" fontId="183" fillId="0" borderId="0"/>
    <xf numFmtId="0" fontId="183" fillId="0" borderId="0"/>
    <xf numFmtId="0" fontId="5" fillId="0" borderId="0"/>
    <xf numFmtId="0" fontId="185"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6" fillId="33" borderId="9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6" fillId="33" borderId="93"/>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87"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44" fontId="195" fillId="0" borderId="0" applyFont="0" applyFill="0" applyBorder="0" applyAlignment="0" applyProtection="0"/>
  </cellStyleXfs>
  <cellXfs count="3782">
    <xf numFmtId="164" fontId="0" fillId="0" borderId="0" xfId="0"/>
    <xf numFmtId="165" fontId="39" fillId="0" borderId="0" xfId="0" applyNumberFormat="1" applyFont="1" applyAlignment="1" applyProtection="1">
      <protection locked="0"/>
    </xf>
    <xf numFmtId="165" fontId="40" fillId="0" borderId="0" xfId="0" applyNumberFormat="1" applyFont="1" applyAlignment="1" applyProtection="1">
      <protection locked="0"/>
    </xf>
    <xf numFmtId="166" fontId="42" fillId="0" borderId="0" xfId="0" applyNumberFormat="1" applyFont="1" applyAlignment="1" applyProtection="1">
      <protection locked="0"/>
    </xf>
    <xf numFmtId="166" fontId="42" fillId="0" borderId="0" xfId="0" applyNumberFormat="1" applyFont="1" applyAlignment="1" applyProtection="1"/>
    <xf numFmtId="166" fontId="43" fillId="0" borderId="0" xfId="0" applyNumberFormat="1" applyFont="1" applyAlignment="1" applyProtection="1">
      <protection locked="0"/>
    </xf>
    <xf numFmtId="166" fontId="43" fillId="0" borderId="0" xfId="0" applyNumberFormat="1" applyFont="1" applyAlignment="1" applyProtection="1"/>
    <xf numFmtId="166" fontId="44" fillId="0" borderId="0" xfId="0" applyNumberFormat="1" applyFont="1" applyFill="1" applyAlignment="1" applyProtection="1">
      <alignment horizontal="right"/>
      <protection locked="0"/>
    </xf>
    <xf numFmtId="166" fontId="44" fillId="0" borderId="0" xfId="0" applyNumberFormat="1" applyFont="1" applyAlignment="1" applyProtection="1">
      <alignment horizontal="right"/>
      <protection locked="0"/>
    </xf>
    <xf numFmtId="166" fontId="38" fillId="0" borderId="0" xfId="0" applyNumberFormat="1" applyFont="1" applyFill="1" applyAlignment="1" applyProtection="1">
      <alignment horizontal="right"/>
      <protection locked="0"/>
    </xf>
    <xf numFmtId="166" fontId="44" fillId="0" borderId="0" xfId="0" quotePrefix="1" applyNumberFormat="1" applyFont="1" applyFill="1" applyAlignment="1" applyProtection="1">
      <alignment horizontal="right"/>
      <protection locked="0"/>
    </xf>
    <xf numFmtId="166" fontId="44" fillId="0" borderId="0" xfId="0" applyNumberFormat="1" applyFont="1" applyAlignment="1" applyProtection="1">
      <alignment horizontal="center"/>
      <protection locked="0"/>
    </xf>
    <xf numFmtId="166" fontId="42" fillId="0" borderId="0" xfId="0" applyNumberFormat="1" applyFont="1" applyBorder="1" applyAlignment="1" applyProtection="1">
      <protection locked="0"/>
    </xf>
    <xf numFmtId="166" fontId="44" fillId="0" borderId="0" xfId="0" applyNumberFormat="1" applyFont="1" applyFill="1" applyAlignment="1" applyProtection="1">
      <protection locked="0"/>
    </xf>
    <xf numFmtId="166" fontId="44" fillId="0" borderId="0" xfId="0" applyNumberFormat="1" applyFont="1" applyAlignment="1" applyProtection="1">
      <protection locked="0"/>
    </xf>
    <xf numFmtId="166" fontId="39" fillId="0" borderId="0" xfId="0" applyNumberFormat="1" applyFont="1" applyAlignment="1" applyProtection="1">
      <protection locked="0"/>
    </xf>
    <xf numFmtId="166" fontId="44" fillId="0" borderId="10" xfId="0" applyNumberFormat="1" applyFont="1" applyBorder="1" applyAlignment="1" applyProtection="1">
      <alignment horizontal="centerContinuous"/>
      <protection locked="0"/>
    </xf>
    <xf numFmtId="166" fontId="44" fillId="0" borderId="10" xfId="0" applyNumberFormat="1" applyFont="1" applyBorder="1" applyAlignment="1" applyProtection="1">
      <alignment horizontal="centerContinuous"/>
    </xf>
    <xf numFmtId="166" fontId="44" fillId="0" borderId="0" xfId="0" applyNumberFormat="1" applyFont="1" applyBorder="1" applyAlignment="1" applyProtection="1">
      <protection locked="0"/>
    </xf>
    <xf numFmtId="165" fontId="39" fillId="0" borderId="0" xfId="0" applyNumberFormat="1" applyFont="1" applyBorder="1" applyAlignment="1" applyProtection="1">
      <protection locked="0"/>
    </xf>
    <xf numFmtId="166" fontId="44" fillId="0" borderId="0" xfId="0" applyNumberFormat="1" applyFont="1" applyBorder="1" applyAlignment="1" applyProtection="1">
      <alignment horizontal="center"/>
      <protection locked="0"/>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39" fillId="0" borderId="0" xfId="0" applyNumberFormat="1" applyFont="1" applyBorder="1" applyAlignment="1" applyProtection="1">
      <alignment horizontal="center"/>
      <protection locked="0"/>
    </xf>
    <xf numFmtId="166" fontId="44" fillId="0" borderId="0" xfId="0" applyNumberFormat="1" applyFont="1" applyFill="1" applyBorder="1" applyAlignment="1" applyProtection="1">
      <alignment horizontal="center"/>
      <protection locked="0"/>
    </xf>
    <xf numFmtId="166" fontId="44" fillId="0" borderId="10" xfId="0" quotePrefix="1" applyNumberFormat="1" applyFont="1" applyBorder="1" applyAlignment="1" applyProtection="1">
      <alignment horizontal="center"/>
      <protection locked="0"/>
    </xf>
    <xf numFmtId="166" fontId="44" fillId="0" borderId="10" xfId="0" applyNumberFormat="1" applyFont="1" applyBorder="1" applyAlignment="1" applyProtection="1">
      <alignment horizontal="center"/>
      <protection locked="0"/>
    </xf>
    <xf numFmtId="166" fontId="44" fillId="0" borderId="10" xfId="0" applyNumberFormat="1" applyFont="1" applyBorder="1" applyAlignment="1" applyProtection="1">
      <alignment horizontal="center"/>
    </xf>
    <xf numFmtId="166" fontId="44" fillId="0" borderId="0" xfId="0" quotePrefix="1" applyNumberFormat="1" applyFont="1" applyBorder="1" applyAlignment="1" applyProtection="1">
      <alignment horizontal="center"/>
      <protection locked="0"/>
    </xf>
    <xf numFmtId="166" fontId="39" fillId="0" borderId="0" xfId="0" applyNumberFormat="1" applyFont="1" applyBorder="1" applyAlignment="1" applyProtection="1">
      <protection locked="0"/>
    </xf>
    <xf numFmtId="166" fontId="39" fillId="0" borderId="0" xfId="0" applyNumberFormat="1" applyFont="1" applyBorder="1" applyAlignment="1" applyProtection="1"/>
    <xf numFmtId="166" fontId="39" fillId="0" borderId="13" xfId="0" applyNumberFormat="1" applyFont="1" applyBorder="1" applyAlignment="1" applyProtection="1">
      <protection locked="0"/>
    </xf>
    <xf numFmtId="166" fontId="39" fillId="0" borderId="14" xfId="0" applyNumberFormat="1" applyFont="1" applyBorder="1" applyAlignment="1" applyProtection="1">
      <protection locked="0"/>
    </xf>
    <xf numFmtId="166" fontId="39" fillId="0" borderId="0" xfId="0" applyNumberFormat="1" applyFont="1" applyFill="1" applyBorder="1" applyAlignment="1" applyProtection="1">
      <protection locked="0"/>
    </xf>
    <xf numFmtId="166" fontId="39" fillId="0" borderId="15" xfId="0" applyNumberFormat="1" applyFont="1" applyBorder="1" applyAlignment="1" applyProtection="1">
      <protection locked="0"/>
    </xf>
    <xf numFmtId="165" fontId="46" fillId="0" borderId="0" xfId="0" applyNumberFormat="1" applyFont="1" applyBorder="1" applyAlignment="1" applyProtection="1">
      <protection locked="0"/>
    </xf>
    <xf numFmtId="37" fontId="39" fillId="0" borderId="0" xfId="0" quotePrefix="1" applyNumberFormat="1" applyFont="1" applyAlignment="1" applyProtection="1">
      <alignment horizontal="left"/>
      <protection locked="0"/>
    </xf>
    <xf numFmtId="167" fontId="39" fillId="0" borderId="0" xfId="0" applyNumberFormat="1" applyFont="1" applyAlignment="1" applyProtection="1">
      <protection locked="0"/>
    </xf>
    <xf numFmtId="167" fontId="39" fillId="0" borderId="0" xfId="0" applyNumberFormat="1" applyFont="1" applyAlignment="1" applyProtection="1">
      <alignment horizontal="center"/>
      <protection locked="0"/>
    </xf>
    <xf numFmtId="167" fontId="39" fillId="0" borderId="13" xfId="0" applyNumberFormat="1" applyFont="1" applyBorder="1" applyAlignment="1" applyProtection="1">
      <protection locked="0"/>
    </xf>
    <xf numFmtId="167" fontId="39" fillId="0" borderId="0" xfId="0" applyNumberFormat="1" applyFont="1" applyBorder="1" applyAlignment="1" applyProtection="1">
      <protection locked="0"/>
    </xf>
    <xf numFmtId="167" fontId="39" fillId="0" borderId="14" xfId="0" applyNumberFormat="1" applyFont="1" applyBorder="1" applyAlignment="1" applyProtection="1">
      <protection locked="0"/>
    </xf>
    <xf numFmtId="167" fontId="39" fillId="0" borderId="0" xfId="0" applyNumberFormat="1" applyFont="1" applyFill="1" applyBorder="1" applyAlignment="1" applyProtection="1">
      <protection locked="0"/>
    </xf>
    <xf numFmtId="167" fontId="39" fillId="0" borderId="15" xfId="0" applyNumberFormat="1" applyFont="1" applyBorder="1" applyAlignment="1" applyProtection="1">
      <protection locked="0"/>
    </xf>
    <xf numFmtId="168" fontId="40" fillId="0" borderId="0" xfId="0" applyNumberFormat="1" applyFont="1" applyAlignment="1" applyProtection="1">
      <protection locked="0"/>
    </xf>
    <xf numFmtId="164" fontId="39" fillId="0" borderId="0" xfId="0" applyNumberFormat="1" applyFont="1" applyBorder="1" applyAlignment="1" applyProtection="1">
      <protection locked="0"/>
    </xf>
    <xf numFmtId="37" fontId="39" fillId="0" borderId="0" xfId="0" applyNumberFormat="1" applyFont="1" applyAlignment="1" applyProtection="1">
      <alignment horizontal="left"/>
      <protection locked="0"/>
    </xf>
    <xf numFmtId="170" fontId="39" fillId="0" borderId="0" xfId="0" applyNumberFormat="1" applyFont="1" applyAlignment="1" applyProtection="1">
      <protection locked="0"/>
    </xf>
    <xf numFmtId="170" fontId="39" fillId="0" borderId="0" xfId="0" applyNumberFormat="1" applyFont="1" applyAlignment="1" applyProtection="1"/>
    <xf numFmtId="170" fontId="39" fillId="0" borderId="13" xfId="0" applyNumberFormat="1" applyFont="1" applyBorder="1" applyAlignment="1" applyProtection="1">
      <protection locked="0"/>
    </xf>
    <xf numFmtId="170" fontId="39" fillId="0" borderId="0" xfId="0" applyNumberFormat="1" applyFont="1" applyBorder="1" applyAlignment="1" applyProtection="1">
      <protection locked="0"/>
    </xf>
    <xf numFmtId="170" fontId="39" fillId="0" borderId="14" xfId="0" applyNumberFormat="1" applyFont="1" applyBorder="1" applyAlignment="1" applyProtection="1">
      <protection locked="0"/>
    </xf>
    <xf numFmtId="170" fontId="39" fillId="0" borderId="0" xfId="0" applyNumberFormat="1" applyFont="1" applyFill="1" applyAlignment="1" applyProtection="1">
      <protection locked="0"/>
    </xf>
    <xf numFmtId="170" fontId="39" fillId="0" borderId="0" xfId="0" applyNumberFormat="1" applyFont="1" applyFill="1" applyBorder="1" applyAlignment="1" applyProtection="1">
      <protection locked="0"/>
    </xf>
    <xf numFmtId="170" fontId="39" fillId="0" borderId="15" xfId="0" applyNumberFormat="1" applyFont="1" applyBorder="1" applyAlignment="1" applyProtection="1">
      <protection locked="0"/>
    </xf>
    <xf numFmtId="165" fontId="39" fillId="0" borderId="0" xfId="0" quotePrefix="1" applyNumberFormat="1" applyFont="1" applyAlignment="1" applyProtection="1">
      <alignment horizontal="left"/>
      <protection locked="0"/>
    </xf>
    <xf numFmtId="170" fontId="39" fillId="0" borderId="0" xfId="0" applyNumberFormat="1" applyFont="1" applyAlignment="1" applyProtection="1">
      <alignment horizontal="center"/>
    </xf>
    <xf numFmtId="171" fontId="39" fillId="0" borderId="0" xfId="0" quotePrefix="1" applyNumberFormat="1" applyFont="1" applyAlignment="1" applyProtection="1">
      <alignment horizontal="left"/>
      <protection locked="0"/>
    </xf>
    <xf numFmtId="170" fontId="39" fillId="0" borderId="0" xfId="0" quotePrefix="1" applyNumberFormat="1" applyFont="1" applyAlignment="1" applyProtection="1">
      <alignment horizontal="center"/>
      <protection locked="0"/>
    </xf>
    <xf numFmtId="170" fontId="44" fillId="0" borderId="0" xfId="0" applyNumberFormat="1" applyFont="1" applyBorder="1" applyAlignment="1" applyProtection="1">
      <alignment horizontal="right"/>
      <protection locked="0"/>
    </xf>
    <xf numFmtId="170" fontId="44" fillId="0" borderId="16" xfId="0" applyNumberFormat="1" applyFont="1" applyBorder="1" applyAlignment="1" applyProtection="1">
      <alignment horizontal="right"/>
    </xf>
    <xf numFmtId="170" fontId="44" fillId="0" borderId="0" xfId="0" applyNumberFormat="1" applyFont="1" applyAlignment="1" applyProtection="1">
      <protection locked="0"/>
    </xf>
    <xf numFmtId="170" fontId="44" fillId="0" borderId="16" xfId="0" applyNumberFormat="1" applyFont="1" applyBorder="1" applyAlignment="1" applyProtection="1">
      <protection locked="0"/>
    </xf>
    <xf numFmtId="170" fontId="44" fillId="0" borderId="16" xfId="0" applyNumberFormat="1" applyFont="1" applyBorder="1" applyAlignment="1" applyProtection="1"/>
    <xf numFmtId="170" fontId="44" fillId="0" borderId="13" xfId="0" applyNumberFormat="1" applyFont="1" applyBorder="1" applyAlignment="1" applyProtection="1">
      <protection locked="0"/>
    </xf>
    <xf numFmtId="170" fontId="44" fillId="0" borderId="0" xfId="0" applyNumberFormat="1" applyFont="1" applyBorder="1" applyAlignment="1" applyProtection="1">
      <protection locked="0"/>
    </xf>
    <xf numFmtId="170" fontId="44" fillId="0" borderId="14" xfId="0" applyNumberFormat="1" applyFont="1" applyBorder="1" applyAlignment="1" applyProtection="1">
      <protection locked="0"/>
    </xf>
    <xf numFmtId="170" fontId="44" fillId="0" borderId="0" xfId="0" applyNumberFormat="1" applyFont="1" applyFill="1" applyBorder="1" applyAlignment="1" applyProtection="1">
      <protection locked="0"/>
    </xf>
    <xf numFmtId="170" fontId="44" fillId="0" borderId="15" xfId="0" applyNumberFormat="1" applyFont="1" applyBorder="1" applyAlignment="1" applyProtection="1">
      <protection locked="0"/>
    </xf>
    <xf numFmtId="165" fontId="47" fillId="0" borderId="0" xfId="0" applyNumberFormat="1" applyFont="1" applyAlignment="1" applyProtection="1">
      <protection locked="0"/>
    </xf>
    <xf numFmtId="164" fontId="44" fillId="0" borderId="16" xfId="0" applyNumberFormat="1" applyFont="1" applyBorder="1" applyAlignment="1" applyProtection="1">
      <protection locked="0"/>
    </xf>
    <xf numFmtId="166" fontId="44" fillId="0" borderId="0" xfId="0" applyNumberFormat="1" applyFont="1" applyBorder="1" applyAlignment="1" applyProtection="1">
      <alignment horizontal="right"/>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66" fontId="39" fillId="0" borderId="0" xfId="0" quotePrefix="1" applyNumberFormat="1" applyFont="1" applyAlignment="1" applyProtection="1">
      <alignment horizontal="center"/>
      <protection locked="0"/>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right"/>
      <protection locked="0"/>
    </xf>
    <xf numFmtId="170" fontId="39" fillId="0" borderId="15" xfId="0" quotePrefix="1" applyNumberFormat="1" applyFont="1" applyBorder="1" applyAlignment="1" applyProtection="1">
      <alignment horizontal="right"/>
      <protection locked="0"/>
    </xf>
    <xf numFmtId="166" fontId="39" fillId="0" borderId="0" xfId="0" quotePrefix="1" applyNumberFormat="1" applyFont="1" applyAlignment="1" applyProtection="1">
      <alignment horizontal="left"/>
      <protection locked="0"/>
    </xf>
    <xf numFmtId="166" fontId="39" fillId="0" borderId="0" xfId="0" quotePrefix="1" applyNumberFormat="1" applyFont="1" applyAlignment="1" applyProtection="1">
      <protection locked="0"/>
    </xf>
    <xf numFmtId="170" fontId="39" fillId="0" borderId="0" xfId="0" applyNumberFormat="1" applyFont="1" applyBorder="1" applyAlignment="1" applyProtection="1">
      <alignment horizontal="center"/>
      <protection locked="0"/>
    </xf>
    <xf numFmtId="170" fontId="39" fillId="0" borderId="0" xfId="0" applyNumberFormat="1" applyFont="1" applyBorder="1" applyAlignment="1" applyProtection="1">
      <alignment horizontal="center"/>
    </xf>
    <xf numFmtId="170" fontId="49" fillId="0" borderId="0" xfId="0" applyNumberFormat="1" applyFont="1" applyAlignment="1" applyProtection="1">
      <protection locked="0"/>
    </xf>
    <xf numFmtId="170" fontId="40" fillId="0" borderId="0" xfId="0" applyNumberFormat="1" applyFont="1" applyAlignment="1" applyProtection="1"/>
    <xf numFmtId="170" fontId="39" fillId="0" borderId="10" xfId="0" applyNumberFormat="1" applyFont="1" applyBorder="1" applyAlignment="1" applyProtection="1">
      <protection locked="0"/>
    </xf>
    <xf numFmtId="170" fontId="44" fillId="0" borderId="10" xfId="0" applyNumberFormat="1" applyFont="1" applyBorder="1" applyAlignment="1" applyProtection="1">
      <protection locked="0"/>
    </xf>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44" fillId="0" borderId="10" xfId="0" applyNumberFormat="1" applyFont="1" applyFill="1" applyBorder="1" applyAlignment="1" applyProtection="1">
      <protection locked="0"/>
    </xf>
    <xf numFmtId="165" fontId="47" fillId="0" borderId="0" xfId="0" applyNumberFormat="1" applyFont="1" applyBorder="1" applyAlignment="1" applyProtection="1">
      <protection locked="0"/>
    </xf>
    <xf numFmtId="164" fontId="44" fillId="0" borderId="10" xfId="0" applyNumberFormat="1" applyFont="1" applyBorder="1" applyAlignment="1" applyProtection="1">
      <protection locked="0"/>
    </xf>
    <xf numFmtId="166" fontId="39" fillId="0" borderId="0" xfId="0" applyNumberFormat="1" applyFont="1" applyFill="1" applyAlignment="1" applyProtection="1">
      <protection locked="0"/>
    </xf>
    <xf numFmtId="170" fontId="39" fillId="0" borderId="0" xfId="0" applyNumberFormat="1" applyFont="1" applyFill="1" applyAlignment="1" applyProtection="1">
      <alignment horizontal="center"/>
    </xf>
    <xf numFmtId="170" fontId="39" fillId="0" borderId="15" xfId="0" applyNumberFormat="1" applyFont="1" applyBorder="1" applyAlignment="1" applyProtection="1">
      <alignment horizontal="center"/>
      <protection locked="0"/>
    </xf>
    <xf numFmtId="165" fontId="40" fillId="0" borderId="0" xfId="0" applyNumberFormat="1" applyFont="1" applyBorder="1" applyAlignment="1" applyProtection="1">
      <protection locked="0"/>
    </xf>
    <xf numFmtId="166" fontId="39" fillId="0" borderId="0" xfId="0" applyNumberFormat="1" applyFont="1" applyFill="1" applyBorder="1" applyAlignment="1" applyProtection="1">
      <alignment horizontal="center"/>
      <protection locked="0"/>
    </xf>
    <xf numFmtId="170" fontId="39" fillId="0" borderId="0" xfId="0" applyNumberFormat="1" applyFont="1" applyFill="1" applyAlignment="1" applyProtection="1"/>
    <xf numFmtId="170" fontId="39" fillId="0" borderId="13" xfId="0" applyNumberFormat="1" applyFont="1" applyFill="1" applyBorder="1" applyAlignment="1" applyProtection="1">
      <protection locked="0"/>
    </xf>
    <xf numFmtId="170" fontId="39" fillId="0" borderId="14" xfId="0" applyNumberFormat="1" applyFont="1" applyFill="1" applyBorder="1" applyAlignment="1" applyProtection="1">
      <protection locked="0"/>
    </xf>
    <xf numFmtId="170" fontId="39" fillId="33" borderId="0" xfId="0" applyNumberFormat="1" applyFont="1" applyFill="1" applyAlignment="1" applyProtection="1">
      <protection locked="0"/>
    </xf>
    <xf numFmtId="164" fontId="39" fillId="0" borderId="10" xfId="0" applyNumberFormat="1" applyFont="1" applyBorder="1" applyAlignment="1" applyProtection="1">
      <protection locked="0"/>
    </xf>
    <xf numFmtId="170" fontId="44" fillId="0" borderId="16" xfId="0" quotePrefix="1" applyNumberFormat="1" applyFont="1" applyBorder="1" applyAlignment="1" applyProtection="1">
      <alignment horizontal="right"/>
      <protection locked="0"/>
    </xf>
    <xf numFmtId="170" fontId="44" fillId="0" borderId="0" xfId="0" quotePrefix="1" applyNumberFormat="1" applyFont="1" applyBorder="1" applyAlignment="1" applyProtection="1">
      <alignment horizontal="right"/>
      <protection locked="0"/>
    </xf>
    <xf numFmtId="172" fontId="44" fillId="0" borderId="10" xfId="0" applyNumberFormat="1" applyFont="1" applyBorder="1" applyAlignment="1" applyProtection="1">
      <protection locked="0"/>
    </xf>
    <xf numFmtId="173" fontId="39" fillId="0" borderId="0" xfId="0" applyNumberFormat="1" applyFont="1" applyBorder="1" applyAlignment="1" applyProtection="1">
      <protection locked="0"/>
    </xf>
    <xf numFmtId="170" fontId="44" fillId="0" borderId="0" xfId="0" applyNumberFormat="1" applyFont="1" applyFill="1" applyAlignment="1" applyProtection="1">
      <protection locked="0"/>
    </xf>
    <xf numFmtId="170" fontId="44" fillId="0" borderId="0" xfId="0" applyNumberFormat="1" applyFont="1" applyFill="1" applyAlignment="1" applyProtection="1"/>
    <xf numFmtId="170" fontId="44" fillId="0" borderId="13" xfId="0" applyNumberFormat="1" applyFont="1" applyFill="1" applyBorder="1" applyAlignment="1" applyProtection="1">
      <protection locked="0"/>
    </xf>
    <xf numFmtId="170" fontId="44" fillId="0" borderId="14" xfId="0" applyNumberFormat="1" applyFont="1" applyFill="1" applyBorder="1" applyAlignment="1" applyProtection="1">
      <protection locked="0"/>
    </xf>
    <xf numFmtId="164" fontId="44" fillId="0" borderId="0" xfId="0" applyNumberFormat="1" applyFont="1" applyBorder="1" applyAlignment="1" applyProtection="1">
      <protection locked="0"/>
    </xf>
    <xf numFmtId="166" fontId="44" fillId="0" borderId="0" xfId="0" applyNumberFormat="1" applyFont="1" applyFill="1" applyBorder="1" applyAlignment="1" applyProtection="1">
      <protection locked="0"/>
    </xf>
    <xf numFmtId="165" fontId="44" fillId="0" borderId="0" xfId="0" applyNumberFormat="1" applyFont="1" applyAlignment="1" applyProtection="1">
      <protection locked="0"/>
    </xf>
    <xf numFmtId="166" fontId="39" fillId="0" borderId="0" xfId="0" quotePrefix="1" applyNumberFormat="1" applyFont="1" applyFill="1" applyAlignment="1" applyProtection="1">
      <alignment horizontal="left"/>
      <protection locked="0"/>
    </xf>
    <xf numFmtId="164" fontId="39" fillId="0" borderId="0" xfId="0" applyFont="1" applyProtection="1">
      <protection locked="0"/>
    </xf>
    <xf numFmtId="174" fontId="44" fillId="0" borderId="17" xfId="0" applyNumberFormat="1" applyFont="1" applyFill="1" applyBorder="1" applyAlignment="1" applyProtection="1">
      <protection locked="0"/>
    </xf>
    <xf numFmtId="174" fontId="44" fillId="0" borderId="0" xfId="0" applyNumberFormat="1" applyFont="1" applyFill="1" applyAlignment="1" applyProtection="1">
      <protection locked="0"/>
    </xf>
    <xf numFmtId="174" fontId="44" fillId="0" borderId="17" xfId="0" applyNumberFormat="1" applyFont="1" applyFill="1" applyBorder="1" applyAlignment="1" applyProtection="1"/>
    <xf numFmtId="174" fontId="44" fillId="0" borderId="13" xfId="0" applyNumberFormat="1" applyFont="1" applyFill="1" applyBorder="1" applyAlignment="1" applyProtection="1">
      <protection locked="0"/>
    </xf>
    <xf numFmtId="174" fontId="44" fillId="0" borderId="0" xfId="0" applyNumberFormat="1" applyFont="1" applyFill="1" applyBorder="1" applyAlignment="1" applyProtection="1">
      <protection locked="0"/>
    </xf>
    <xf numFmtId="174" fontId="44" fillId="0" borderId="14" xfId="0" applyNumberFormat="1" applyFont="1" applyFill="1" applyBorder="1" applyAlignment="1" applyProtection="1">
      <protection locked="0"/>
    </xf>
    <xf numFmtId="174" fontId="44" fillId="0" borderId="15" xfId="0" applyNumberFormat="1" applyFont="1" applyBorder="1" applyAlignment="1" applyProtection="1">
      <protection locked="0"/>
    </xf>
    <xf numFmtId="174" fontId="44" fillId="0" borderId="17" xfId="0" applyNumberFormat="1" applyFont="1" applyBorder="1" applyAlignment="1" applyProtection="1">
      <protection locked="0"/>
    </xf>
    <xf numFmtId="164" fontId="44" fillId="0" borderId="17" xfId="0" applyNumberFormat="1" applyFont="1" applyBorder="1" applyAlignment="1" applyProtection="1">
      <protection locked="0"/>
    </xf>
    <xf numFmtId="169" fontId="44" fillId="0" borderId="0" xfId="0" applyNumberFormat="1" applyFont="1" applyFill="1" applyBorder="1" applyAlignment="1" applyProtection="1">
      <protection locked="0"/>
    </xf>
    <xf numFmtId="168" fontId="47" fillId="0" borderId="0" xfId="0" applyNumberFormat="1" applyFont="1" applyAlignment="1" applyProtection="1">
      <protection locked="0"/>
    </xf>
    <xf numFmtId="166" fontId="47" fillId="0" borderId="0" xfId="0" applyNumberFormat="1" applyFont="1" applyBorder="1" applyAlignment="1" applyProtection="1">
      <protection locked="0"/>
    </xf>
    <xf numFmtId="166" fontId="40" fillId="0" borderId="0" xfId="0" applyNumberFormat="1" applyFont="1" applyBorder="1" applyAlignment="1" applyProtection="1">
      <protection locked="0"/>
    </xf>
    <xf numFmtId="166" fontId="40" fillId="0" borderId="0" xfId="0" applyNumberFormat="1" applyFont="1" applyAlignment="1" applyProtection="1">
      <protection locked="0"/>
    </xf>
    <xf numFmtId="166" fontId="40" fillId="0" borderId="0" xfId="0" applyNumberFormat="1" applyFont="1" applyFill="1" applyBorder="1" applyAlignment="1" applyProtection="1">
      <protection locked="0"/>
    </xf>
    <xf numFmtId="165" fontId="50" fillId="0" borderId="0" xfId="0" applyNumberFormat="1" applyFont="1" applyBorder="1" applyAlignment="1" applyProtection="1">
      <protection locked="0"/>
    </xf>
    <xf numFmtId="165" fontId="44" fillId="0" borderId="0" xfId="0" applyNumberFormat="1" applyFont="1" applyBorder="1" applyAlignment="1" applyProtection="1">
      <protection locked="0"/>
    </xf>
    <xf numFmtId="165" fontId="40" fillId="0" borderId="0" xfId="0" applyNumberFormat="1" applyFont="1" applyFill="1" applyAlignment="1" applyProtection="1">
      <protection locked="0"/>
    </xf>
    <xf numFmtId="165" fontId="50" fillId="0" borderId="0" xfId="0" applyNumberFormat="1" applyFont="1" applyAlignment="1" applyProtection="1">
      <protection locked="0"/>
    </xf>
    <xf numFmtId="166" fontId="45" fillId="0" borderId="0" xfId="0" quotePrefix="1" applyNumberFormat="1" applyFont="1" applyBorder="1" applyAlignment="1" applyProtection="1">
      <alignment horizontal="left"/>
      <protection locked="0"/>
    </xf>
    <xf numFmtId="166" fontId="45" fillId="0" borderId="0" xfId="0" applyNumberFormat="1" applyFont="1" applyBorder="1" applyAlignment="1" applyProtection="1">
      <alignment horizontal="left"/>
      <protection locked="0"/>
    </xf>
    <xf numFmtId="165" fontId="45" fillId="0" borderId="0" xfId="0" applyNumberFormat="1" applyFont="1" applyBorder="1" applyAlignment="1" applyProtection="1">
      <protection locked="0"/>
    </xf>
    <xf numFmtId="165" fontId="51" fillId="0" borderId="0" xfId="0" applyNumberFormat="1" applyFont="1" applyAlignment="1" applyProtection="1">
      <protection locked="0"/>
    </xf>
    <xf numFmtId="164" fontId="39" fillId="0" borderId="0" xfId="0" applyFont="1" applyFill="1" applyBorder="1" applyAlignment="1"/>
    <xf numFmtId="166" fontId="42" fillId="0" borderId="0" xfId="0" applyNumberFormat="1" applyFont="1" applyAlignment="1"/>
    <xf numFmtId="166" fontId="43" fillId="0" borderId="0" xfId="0" applyNumberFormat="1" applyFont="1" applyAlignment="1"/>
    <xf numFmtId="165" fontId="54" fillId="0" borderId="0" xfId="0" applyNumberFormat="1" applyFont="1" applyFill="1" applyAlignment="1"/>
    <xf numFmtId="166" fontId="38" fillId="0" borderId="0" xfId="0" applyNumberFormat="1" applyFont="1" applyFill="1" applyAlignment="1">
      <alignment horizontal="right"/>
    </xf>
    <xf numFmtId="166" fontId="55" fillId="0" borderId="0" xfId="0" applyNumberFormat="1" applyFont="1" applyFill="1" applyBorder="1" applyAlignment="1">
      <alignment horizontal="right"/>
    </xf>
    <xf numFmtId="165" fontId="39" fillId="0" borderId="0" xfId="0" applyNumberFormat="1" applyFont="1" applyAlignment="1"/>
    <xf numFmtId="165" fontId="40" fillId="0" borderId="0" xfId="0" applyNumberFormat="1" applyFont="1" applyAlignment="1"/>
    <xf numFmtId="166" fontId="58" fillId="0" borderId="0" xfId="0" applyNumberFormat="1" applyFont="1" applyFill="1" applyAlignment="1">
      <alignment horizontal="right"/>
    </xf>
    <xf numFmtId="166" fontId="43" fillId="0" borderId="0" xfId="0" applyNumberFormat="1" applyFont="1" applyBorder="1" applyAlignment="1"/>
    <xf numFmtId="166" fontId="42" fillId="0" borderId="0" xfId="0" applyNumberFormat="1" applyFont="1" applyBorder="1" applyAlignment="1"/>
    <xf numFmtId="166" fontId="44" fillId="0" borderId="0" xfId="0" applyNumberFormat="1" applyFont="1" applyAlignment="1">
      <alignment horizontal="center"/>
    </xf>
    <xf numFmtId="165" fontId="40" fillId="0" borderId="0" xfId="0" applyNumberFormat="1" applyFont="1" applyBorder="1" applyAlignment="1"/>
    <xf numFmtId="166" fontId="44" fillId="0" borderId="0" xfId="0" applyNumberFormat="1" applyFont="1" applyFill="1" applyAlignment="1"/>
    <xf numFmtId="166" fontId="44" fillId="0" borderId="0" xfId="0" applyNumberFormat="1" applyFont="1" applyAlignment="1"/>
    <xf numFmtId="166" fontId="39" fillId="0" borderId="0" xfId="0" applyNumberFormat="1" applyFont="1" applyAlignment="1"/>
    <xf numFmtId="166" fontId="39" fillId="0" borderId="0" xfId="0" applyNumberFormat="1" applyFont="1" applyBorder="1" applyAlignment="1"/>
    <xf numFmtId="166" fontId="44" fillId="0" borderId="10" xfId="0" applyNumberFormat="1" applyFont="1" applyBorder="1" applyAlignment="1">
      <alignment horizontal="centerContinuous"/>
    </xf>
    <xf numFmtId="166" fontId="44" fillId="0" borderId="0" xfId="0" applyNumberFormat="1" applyFont="1" applyBorder="1" applyAlignment="1"/>
    <xf numFmtId="165" fontId="39" fillId="0" borderId="0" xfId="0" applyNumberFormat="1" applyFont="1" applyBorder="1" applyAlignment="1"/>
    <xf numFmtId="166" fontId="44" fillId="0" borderId="0" xfId="0" quotePrefix="1" applyNumberFormat="1" applyFont="1" applyBorder="1" applyAlignment="1">
      <alignment horizontal="center"/>
    </xf>
    <xf numFmtId="166" fontId="44" fillId="0" borderId="10" xfId="0" quotePrefix="1" applyNumberFormat="1" applyFont="1" applyBorder="1" applyAlignment="1">
      <alignment horizontal="center"/>
    </xf>
    <xf numFmtId="166" fontId="39" fillId="0" borderId="18" xfId="0" applyNumberFormat="1" applyFont="1" applyBorder="1" applyAlignment="1"/>
    <xf numFmtId="166" fontId="39" fillId="0" borderId="0" xfId="0" applyNumberFormat="1" applyFont="1" applyFill="1" applyBorder="1" applyAlignment="1"/>
    <xf numFmtId="37" fontId="39" fillId="0" borderId="0" xfId="0" applyNumberFormat="1" applyFont="1" applyAlignment="1">
      <alignment horizontal="left"/>
    </xf>
    <xf numFmtId="174" fontId="39" fillId="0" borderId="0" xfId="0" applyNumberFormat="1" applyFont="1" applyAlignment="1"/>
    <xf numFmtId="174" fontId="39" fillId="0" borderId="0" xfId="0" applyNumberFormat="1" applyFont="1" applyAlignment="1">
      <alignment horizontal="right"/>
    </xf>
    <xf numFmtId="174" fontId="39" fillId="0" borderId="0" xfId="0" applyNumberFormat="1" applyFont="1" applyBorder="1" applyAlignment="1"/>
    <xf numFmtId="174" fontId="39" fillId="0" borderId="18" xfId="0" applyNumberFormat="1" applyFont="1" applyBorder="1" applyAlignment="1"/>
    <xf numFmtId="170" fontId="39" fillId="0" borderId="0" xfId="0" applyNumberFormat="1" applyFont="1" applyAlignment="1"/>
    <xf numFmtId="170" fontId="39" fillId="0" borderId="0" xfId="0" applyNumberFormat="1" applyFont="1" applyBorder="1" applyAlignment="1"/>
    <xf numFmtId="170" fontId="39" fillId="0" borderId="18" xfId="0" applyNumberFormat="1" applyFont="1" applyBorder="1" applyAlignment="1"/>
    <xf numFmtId="170" fontId="39" fillId="0" borderId="0" xfId="0" applyNumberFormat="1" applyFont="1" applyAlignment="1">
      <alignment horizontal="right"/>
    </xf>
    <xf numFmtId="170" fontId="39" fillId="0" borderId="0" xfId="0" quotePrefix="1" applyNumberFormat="1" applyFont="1" applyAlignment="1">
      <alignment horizontal="center"/>
    </xf>
    <xf numFmtId="170" fontId="39" fillId="0" borderId="0" xfId="0" applyNumberFormat="1" applyFont="1" applyAlignment="1">
      <alignment horizontal="center"/>
    </xf>
    <xf numFmtId="166" fontId="39" fillId="0" borderId="0" xfId="0" applyNumberFormat="1" applyFont="1" applyFill="1" applyAlignment="1"/>
    <xf numFmtId="165" fontId="39" fillId="0" borderId="0" xfId="0" quotePrefix="1" applyNumberFormat="1" applyFont="1" applyAlignment="1">
      <alignment horizontal="left"/>
    </xf>
    <xf numFmtId="170" fontId="39" fillId="0" borderId="0" xfId="0" applyNumberFormat="1" applyFont="1" applyBorder="1" applyAlignment="1">
      <alignment horizontal="center"/>
    </xf>
    <xf numFmtId="170" fontId="39" fillId="0" borderId="18" xfId="0" applyNumberFormat="1" applyFont="1" applyBorder="1" applyAlignment="1">
      <alignment horizontal="center"/>
    </xf>
    <xf numFmtId="166" fontId="39" fillId="0" borderId="0" xfId="0" quotePrefix="1" applyNumberFormat="1" applyFont="1" applyAlignment="1">
      <alignment horizontal="left"/>
    </xf>
    <xf numFmtId="37" fontId="39" fillId="0" borderId="0" xfId="0" quotePrefix="1" applyNumberFormat="1" applyFont="1" applyAlignment="1">
      <alignment horizontal="left"/>
    </xf>
    <xf numFmtId="170" fontId="44" fillId="0" borderId="16" xfId="0" applyNumberFormat="1" applyFont="1" applyBorder="1" applyAlignment="1"/>
    <xf numFmtId="170" fontId="44" fillId="0" borderId="0" xfId="0" applyNumberFormat="1" applyFont="1" applyAlignment="1"/>
    <xf numFmtId="170" fontId="44" fillId="0" borderId="16" xfId="0" applyNumberFormat="1" applyFont="1" applyBorder="1" applyAlignment="1">
      <alignment horizontal="right"/>
    </xf>
    <xf numFmtId="170" fontId="44" fillId="0" borderId="0" xfId="0" applyNumberFormat="1" applyFont="1" applyBorder="1" applyAlignment="1"/>
    <xf numFmtId="170" fontId="44" fillId="0" borderId="18" xfId="0" applyNumberFormat="1" applyFont="1" applyBorder="1" applyAlignment="1"/>
    <xf numFmtId="170" fontId="39" fillId="0" borderId="0" xfId="0" quotePrefix="1" applyNumberFormat="1" applyFont="1" applyAlignment="1">
      <alignment horizontal="right"/>
    </xf>
    <xf numFmtId="166" fontId="39" fillId="0" borderId="0" xfId="0" quotePrefix="1" applyNumberFormat="1" applyFont="1" applyAlignment="1"/>
    <xf numFmtId="170" fontId="39" fillId="0" borderId="10" xfId="0" applyNumberFormat="1" applyFont="1" applyBorder="1" applyAlignment="1">
      <alignment horizontal="right"/>
    </xf>
    <xf numFmtId="170" fontId="44" fillId="0" borderId="16" xfId="0" quotePrefix="1" applyNumberFormat="1" applyFont="1" applyBorder="1" applyAlignment="1">
      <alignment horizontal="center"/>
    </xf>
    <xf numFmtId="170" fontId="44" fillId="0" borderId="16" xfId="0" applyNumberFormat="1" applyFont="1" applyBorder="1" applyAlignment="1">
      <alignment horizontal="center"/>
    </xf>
    <xf numFmtId="170" fontId="44" fillId="0" borderId="0" xfId="0" applyNumberFormat="1" applyFont="1" applyBorder="1" applyAlignment="1">
      <alignment horizontal="center"/>
    </xf>
    <xf numFmtId="170" fontId="44" fillId="0" borderId="18" xfId="0" applyNumberFormat="1" applyFont="1" applyBorder="1" applyAlignment="1">
      <alignment horizontal="center"/>
    </xf>
    <xf numFmtId="170" fontId="44" fillId="0" borderId="10" xfId="0" applyNumberFormat="1" applyFont="1" applyBorder="1" applyAlignment="1"/>
    <xf numFmtId="170" fontId="39" fillId="0" borderId="0" xfId="0" applyNumberFormat="1" applyFont="1" applyFill="1" applyAlignment="1"/>
    <xf numFmtId="170" fontId="39" fillId="0" borderId="0" xfId="0" applyNumberFormat="1" applyFont="1" applyFill="1" applyBorder="1" applyAlignment="1"/>
    <xf numFmtId="170" fontId="39" fillId="0" borderId="18" xfId="0" applyNumberFormat="1" applyFont="1" applyFill="1" applyBorder="1" applyAlignment="1"/>
    <xf numFmtId="165" fontId="44" fillId="0" borderId="0" xfId="0" applyNumberFormat="1" applyFont="1" applyBorder="1" applyAlignment="1"/>
    <xf numFmtId="170" fontId="44" fillId="0" borderId="0" xfId="0" applyNumberFormat="1" applyFont="1" applyFill="1" applyAlignment="1"/>
    <xf numFmtId="170" fontId="59" fillId="0" borderId="0" xfId="0" applyNumberFormat="1" applyFont="1" applyFill="1" applyAlignment="1"/>
    <xf numFmtId="170" fontId="59" fillId="0" borderId="0" xfId="0" applyNumberFormat="1" applyFont="1" applyFill="1" applyBorder="1" applyAlignment="1"/>
    <xf numFmtId="170" fontId="59" fillId="0" borderId="18" xfId="0" applyNumberFormat="1" applyFont="1" applyFill="1" applyBorder="1" applyAlignment="1"/>
    <xf numFmtId="170" fontId="44" fillId="0" borderId="0" xfId="0" applyNumberFormat="1" applyFont="1" applyFill="1" applyBorder="1" applyAlignment="1"/>
    <xf numFmtId="166" fontId="44" fillId="0" borderId="0" xfId="0" applyNumberFormat="1" applyFont="1" applyFill="1" applyBorder="1" applyAlignment="1"/>
    <xf numFmtId="166" fontId="44" fillId="0" borderId="0" xfId="0" quotePrefix="1" applyNumberFormat="1" applyFont="1" applyAlignment="1">
      <alignment horizontal="left"/>
    </xf>
    <xf numFmtId="166" fontId="44" fillId="0" borderId="0" xfId="0" quotePrefix="1" applyNumberFormat="1" applyFont="1" applyFill="1" applyAlignment="1">
      <alignment horizontal="left"/>
    </xf>
    <xf numFmtId="37" fontId="39" fillId="0" borderId="0" xfId="0" applyNumberFormat="1" applyFont="1" applyFill="1" applyAlignment="1">
      <alignment horizontal="left"/>
    </xf>
    <xf numFmtId="174" fontId="44" fillId="0" borderId="17" xfId="0" applyNumberFormat="1" applyFont="1" applyFill="1" applyBorder="1" applyAlignment="1"/>
    <xf numFmtId="174" fontId="44" fillId="0" borderId="0" xfId="0" applyNumberFormat="1" applyFont="1" applyFill="1" applyAlignment="1"/>
    <xf numFmtId="174" fontId="59" fillId="0" borderId="17" xfId="0" applyNumberFormat="1" applyFont="1" applyFill="1" applyBorder="1" applyAlignment="1"/>
    <xf numFmtId="174" fontId="59" fillId="0" borderId="0" xfId="0" applyNumberFormat="1" applyFont="1" applyFill="1" applyAlignment="1"/>
    <xf numFmtId="174" fontId="59" fillId="0" borderId="0" xfId="0" applyNumberFormat="1" applyFont="1" applyFill="1" applyBorder="1" applyAlignment="1"/>
    <xf numFmtId="169" fontId="44" fillId="0" borderId="0" xfId="0" applyNumberFormat="1" applyFont="1" applyFill="1" applyBorder="1" applyAlignment="1"/>
    <xf numFmtId="166" fontId="47" fillId="0" borderId="0" xfId="0" applyNumberFormat="1" applyFont="1" applyBorder="1" applyAlignment="1"/>
    <xf numFmtId="166" fontId="40" fillId="0" borderId="0" xfId="0" applyNumberFormat="1" applyFont="1" applyBorder="1" applyAlignment="1"/>
    <xf numFmtId="165" fontId="40" fillId="0" borderId="0" xfId="0" applyNumberFormat="1" applyFont="1" applyFill="1" applyAlignment="1"/>
    <xf numFmtId="166" fontId="45" fillId="0" borderId="0" xfId="0" applyNumberFormat="1" applyFont="1" applyBorder="1" applyAlignment="1">
      <alignment horizontal="left"/>
    </xf>
    <xf numFmtId="165" fontId="45" fillId="0" borderId="0" xfId="0" applyNumberFormat="1" applyFont="1" applyBorder="1" applyAlignment="1"/>
    <xf numFmtId="165" fontId="46" fillId="0" borderId="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4" fillId="0" borderId="0" xfId="2" applyNumberFormat="1" applyFont="1" applyAlignment="1"/>
    <xf numFmtId="165" fontId="64" fillId="0" borderId="0" xfId="2" applyNumberFormat="1" applyFont="1" applyBorder="1" applyAlignment="1" applyProtection="1">
      <alignment horizontal="center"/>
      <protection locked="0"/>
    </xf>
    <xf numFmtId="165" fontId="64" fillId="0" borderId="0" xfId="2" applyNumberFormat="1" applyFont="1" applyAlignment="1" applyProtection="1">
      <protection locked="0"/>
    </xf>
    <xf numFmtId="165" fontId="64"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4"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0" fontId="39" fillId="0" borderId="0" xfId="2" applyFont="1" applyAlignment="1"/>
    <xf numFmtId="0" fontId="39" fillId="0" borderId="21" xfId="2" applyFont="1" applyBorder="1" applyAlignment="1"/>
    <xf numFmtId="0" fontId="39" fillId="0" borderId="0" xfId="2" applyFont="1" applyBorder="1" applyAlignment="1"/>
    <xf numFmtId="174" fontId="39" fillId="0" borderId="0" xfId="2" applyNumberFormat="1" applyFont="1" applyAlignment="1"/>
    <xf numFmtId="168" fontId="64" fillId="0" borderId="0" xfId="2" applyNumberFormat="1" applyFont="1" applyAlignment="1"/>
    <xf numFmtId="169" fontId="39" fillId="0" borderId="0" xfId="2" applyNumberFormat="1" applyFont="1" applyBorder="1" applyAlignment="1"/>
    <xf numFmtId="168" fontId="64" fillId="0" borderId="0" xfId="2" applyNumberFormat="1" applyFont="1" applyAlignment="1" applyProtection="1">
      <protection locked="0"/>
    </xf>
    <xf numFmtId="0" fontId="39" fillId="0" borderId="0" xfId="2" quotePrefix="1" applyNumberFormat="1" applyFont="1" applyAlignment="1">
      <alignment horizontal="left"/>
    </xf>
    <xf numFmtId="170" fontId="64"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70" fontId="39" fillId="0" borderId="18" xfId="2" applyNumberFormat="1" applyFont="1" applyBorder="1" applyAlignment="1"/>
    <xf numFmtId="166" fontId="39" fillId="0" borderId="0" xfId="2"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5"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0" fontId="39" fillId="0" borderId="0" xfId="2" quotePrefix="1" applyFont="1" applyBorder="1" applyAlignment="1">
      <alignment horizontal="center"/>
    </xf>
    <xf numFmtId="0" fontId="39" fillId="0" borderId="0" xfId="2" quotePrefix="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0" fontId="39" fillId="0" borderId="0" xfId="2" quotePrefix="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0" fontId="44" fillId="0" borderId="0" xfId="2" applyFont="1" applyBorder="1" applyAlignment="1"/>
    <xf numFmtId="165" fontId="65"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4" fillId="0" borderId="0" xfId="2" applyNumberFormat="1" applyFont="1" applyBorder="1" applyAlignment="1" applyProtection="1">
      <protection locked="0"/>
    </xf>
    <xf numFmtId="0" fontId="0" fillId="0" borderId="0" xfId="2" applyFont="1"/>
    <xf numFmtId="166" fontId="66" fillId="0" borderId="0" xfId="2" applyNumberFormat="1" applyFont="1" applyAlignment="1"/>
    <xf numFmtId="0" fontId="64" fillId="0" borderId="0" xfId="2" applyNumberFormat="1" applyFont="1" applyBorder="1" applyAlignment="1"/>
    <xf numFmtId="165" fontId="64"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7"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8" fillId="0" borderId="0" xfId="2" applyNumberFormat="1" applyFont="1" applyFill="1" applyAlignment="1">
      <alignment horizontal="center"/>
    </xf>
    <xf numFmtId="37" fontId="69" fillId="0" borderId="0" xfId="2" applyNumberFormat="1" applyFont="1" applyFill="1" applyAlignment="1">
      <alignment horizontal="center"/>
    </xf>
    <xf numFmtId="37" fontId="70" fillId="0" borderId="0" xfId="2" applyNumberFormat="1" applyFont="1" applyFill="1" applyAlignment="1"/>
    <xf numFmtId="0" fontId="67" fillId="0" borderId="0" xfId="2" quotePrefix="1" applyNumberFormat="1" applyFont="1" applyFill="1" applyAlignment="1" applyProtection="1">
      <alignment horizontal="left"/>
      <protection locked="0"/>
    </xf>
    <xf numFmtId="37" fontId="42" fillId="0" borderId="0" xfId="2" applyNumberFormat="1" applyFont="1" applyFill="1" applyBorder="1" applyAlignment="1"/>
    <xf numFmtId="37" fontId="42" fillId="0" borderId="0" xfId="2" applyNumberFormat="1" applyFont="1" applyFill="1" applyAlignment="1"/>
    <xf numFmtId="0" fontId="62"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4" fillId="0" borderId="0" xfId="2" quotePrefix="1" applyNumberFormat="1" applyFont="1" applyAlignment="1">
      <alignment horizontal="left"/>
    </xf>
    <xf numFmtId="166" fontId="72" fillId="0" borderId="0" xfId="2" quotePrefix="1" applyNumberFormat="1" applyFont="1" applyAlignment="1">
      <alignment horizontal="left"/>
    </xf>
    <xf numFmtId="0" fontId="73" fillId="0" borderId="0" xfId="2" applyNumberFormat="1" applyFont="1" applyAlignment="1"/>
    <xf numFmtId="37" fontId="66" fillId="0" borderId="0" xfId="2" applyNumberFormat="1" applyFont="1" applyBorder="1"/>
    <xf numFmtId="37" fontId="66" fillId="0" borderId="0" xfId="2" applyNumberFormat="1" applyFont="1"/>
    <xf numFmtId="0" fontId="74" fillId="0" borderId="0" xfId="2" applyNumberFormat="1" applyFont="1" applyFill="1" applyAlignment="1"/>
    <xf numFmtId="37" fontId="66" fillId="0" borderId="0" xfId="2" applyNumberFormat="1" applyFont="1" applyFill="1" applyBorder="1"/>
    <xf numFmtId="37" fontId="66" fillId="0" borderId="0" xfId="2" applyNumberFormat="1" applyFont="1" applyAlignment="1"/>
    <xf numFmtId="0" fontId="67" fillId="0" borderId="0" xfId="2" applyNumberFormat="1" applyFont="1" applyFill="1" applyAlignment="1">
      <alignment horizontal="left"/>
    </xf>
    <xf numFmtId="37" fontId="67" fillId="0" borderId="0" xfId="2" applyNumberFormat="1" applyFont="1" applyBorder="1" applyAlignment="1">
      <alignment horizontal="right"/>
    </xf>
    <xf numFmtId="0" fontId="62"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5"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1" fillId="0" borderId="0" xfId="2" quotePrefix="1" applyNumberFormat="1" applyFont="1" applyBorder="1" applyAlignment="1">
      <alignment horizontal="centerContinuous"/>
    </xf>
    <xf numFmtId="37" fontId="64"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6" fillId="0" borderId="0" xfId="2" applyNumberFormat="1" applyFont="1" applyAlignment="1"/>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5" fontId="66" fillId="0" borderId="0" xfId="2" applyNumberFormat="1" applyFont="1" applyBorder="1" applyAlignment="1"/>
    <xf numFmtId="166" fontId="64" fillId="0" borderId="0" xfId="2" applyNumberFormat="1" applyFont="1" applyBorder="1" applyAlignment="1"/>
    <xf numFmtId="166" fontId="64"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6"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7" fillId="0" borderId="0" xfId="2" applyNumberFormat="1" applyFont="1" applyAlignment="1"/>
    <xf numFmtId="166" fontId="78" fillId="0" borderId="0" xfId="2" applyNumberFormat="1" applyFont="1" applyAlignment="1"/>
    <xf numFmtId="166" fontId="79" fillId="0" borderId="0" xfId="2" applyNumberFormat="1" applyFont="1" applyAlignment="1"/>
    <xf numFmtId="166" fontId="78" fillId="0" borderId="0" xfId="2" quotePrefix="1" applyNumberFormat="1" applyFont="1" applyAlignment="1">
      <alignment horizontal="left"/>
    </xf>
    <xf numFmtId="166" fontId="60" fillId="0" borderId="0" xfId="2" applyNumberFormat="1" applyFont="1" applyAlignment="1"/>
    <xf numFmtId="166" fontId="77" fillId="0" borderId="20" xfId="2" applyNumberFormat="1" applyFont="1" applyBorder="1" applyAlignment="1"/>
    <xf numFmtId="166" fontId="80" fillId="0" borderId="0" xfId="2" quotePrefix="1" applyNumberFormat="1" applyFont="1" applyAlignment="1">
      <alignment horizontal="left"/>
    </xf>
    <xf numFmtId="174" fontId="80" fillId="0" borderId="0" xfId="2" applyNumberFormat="1" applyFont="1" applyAlignment="1"/>
    <xf numFmtId="174" fontId="80" fillId="0" borderId="21" xfId="2" applyNumberFormat="1" applyFont="1" applyBorder="1" applyAlignment="1"/>
    <xf numFmtId="166" fontId="80" fillId="0" borderId="0" xfId="2" applyNumberFormat="1" applyFont="1" applyAlignment="1"/>
    <xf numFmtId="166" fontId="77" fillId="0" borderId="0" xfId="2" applyNumberFormat="1" applyFont="1" applyAlignment="1">
      <alignment horizontal="right"/>
    </xf>
    <xf numFmtId="166" fontId="77" fillId="0" borderId="21" xfId="2" applyNumberFormat="1" applyFont="1" applyBorder="1" applyAlignment="1"/>
    <xf numFmtId="170" fontId="77" fillId="0" borderId="0" xfId="2" applyNumberFormat="1" applyFont="1" applyAlignment="1"/>
    <xf numFmtId="170" fontId="77" fillId="0" borderId="21" xfId="2" applyNumberFormat="1" applyFont="1" applyBorder="1" applyAlignment="1"/>
    <xf numFmtId="170" fontId="80" fillId="0" borderId="0" xfId="2" applyNumberFormat="1" applyFont="1" applyAlignment="1"/>
    <xf numFmtId="170" fontId="80" fillId="0" borderId="21" xfId="2" applyNumberFormat="1" applyFont="1" applyBorder="1" applyAlignment="1"/>
    <xf numFmtId="170" fontId="62" fillId="0" borderId="0" xfId="2" applyNumberFormat="1" applyFont="1" applyAlignment="1"/>
    <xf numFmtId="170" fontId="62" fillId="0" borderId="0" xfId="2" quotePrefix="1" applyNumberFormat="1" applyFont="1" applyAlignment="1">
      <alignment horizontal="center"/>
    </xf>
    <xf numFmtId="166" fontId="79" fillId="0" borderId="0" xfId="2" applyNumberFormat="1" applyFont="1" applyBorder="1" applyAlignment="1"/>
    <xf numFmtId="170" fontId="77" fillId="0" borderId="24" xfId="2" applyNumberFormat="1" applyFont="1" applyBorder="1" applyAlignment="1"/>
    <xf numFmtId="170" fontId="77" fillId="0" borderId="0" xfId="2" applyNumberFormat="1" applyFont="1" applyBorder="1" applyAlignment="1">
      <alignment horizontal="right"/>
    </xf>
    <xf numFmtId="170" fontId="62" fillId="0" borderId="0" xfId="2" applyNumberFormat="1" applyFont="1" applyBorder="1" applyAlignment="1"/>
    <xf numFmtId="170" fontId="77" fillId="0" borderId="0" xfId="2" applyNumberFormat="1" applyFont="1" applyAlignment="1">
      <alignment horizontal="right"/>
    </xf>
    <xf numFmtId="170" fontId="80" fillId="0" borderId="0" xfId="2" applyNumberFormat="1" applyFont="1" applyAlignment="1">
      <alignment horizontal="right"/>
    </xf>
    <xf numFmtId="166" fontId="62" fillId="0" borderId="0" xfId="2" quotePrefix="1" applyNumberFormat="1" applyFont="1" applyAlignment="1">
      <alignment horizontal="left"/>
    </xf>
    <xf numFmtId="165" fontId="62"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xf numFmtId="164" fontId="66" fillId="0" borderId="0" xfId="2" applyNumberFormat="1" applyFont="1" applyAlignment="1"/>
    <xf numFmtId="165" fontId="67" fillId="0" borderId="0" xfId="2" applyNumberFormat="1" applyFont="1" applyAlignment="1"/>
    <xf numFmtId="0" fontId="67" fillId="0" borderId="0" xfId="2" applyNumberFormat="1" applyFont="1" applyAlignment="1"/>
    <xf numFmtId="165" fontId="67" fillId="0" borderId="0" xfId="2" applyNumberFormat="1" applyFont="1" applyAlignment="1">
      <alignment horizontal="right"/>
    </xf>
    <xf numFmtId="165" fontId="67" fillId="0" borderId="0" xfId="2" applyNumberFormat="1" applyFont="1" applyBorder="1" applyAlignment="1">
      <alignment horizontal="right"/>
    </xf>
    <xf numFmtId="164" fontId="67" fillId="0" borderId="0" xfId="2" applyNumberFormat="1" applyFont="1" applyAlignment="1">
      <alignment horizontal="right"/>
    </xf>
    <xf numFmtId="165" fontId="43" fillId="0" borderId="0" xfId="2" applyNumberFormat="1" applyFont="1" applyFill="1" applyAlignment="1">
      <alignment horizontal="right"/>
    </xf>
    <xf numFmtId="0" fontId="67" fillId="0" borderId="0" xfId="2" quotePrefix="1" applyNumberFormat="1" applyFont="1" applyAlignment="1">
      <alignment horizontal="left"/>
    </xf>
    <xf numFmtId="3" fontId="39" fillId="0" borderId="20" xfId="2" applyNumberFormat="1" applyFont="1" applyBorder="1" applyAlignment="1"/>
    <xf numFmtId="165" fontId="66" fillId="0" borderId="15" xfId="2" applyNumberFormat="1" applyFont="1" applyBorder="1"/>
    <xf numFmtId="169" fontId="44" fillId="0" borderId="0" xfId="2" applyNumberFormat="1" applyFont="1" applyAlignment="1"/>
    <xf numFmtId="169" fontId="44" fillId="0" borderId="21" xfId="2" applyNumberFormat="1" applyFont="1" applyBorder="1" applyAlignment="1"/>
    <xf numFmtId="169" fontId="76" fillId="0" borderId="15" xfId="2" applyNumberFormat="1" applyFont="1" applyBorder="1"/>
    <xf numFmtId="174" fontId="65" fillId="0" borderId="0" xfId="2" applyNumberFormat="1" applyFont="1" applyAlignment="1"/>
    <xf numFmtId="166" fontId="39" fillId="0" borderId="21" xfId="2" applyNumberFormat="1" applyFont="1" applyBorder="1" applyAlignment="1"/>
    <xf numFmtId="166" fontId="39" fillId="0" borderId="0" xfId="2" quotePrefix="1" applyNumberFormat="1" applyFont="1" applyFill="1" applyAlignment="1">
      <alignment horizontal="right"/>
    </xf>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66" fontId="39" fillId="0" borderId="0" xfId="2" applyNumberFormat="1" applyFont="1" applyAlignment="1">
      <alignment horizont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39" fillId="0" borderId="0" xfId="2" quotePrefix="1" applyNumberFormat="1" applyFont="1" applyFill="1" applyBorder="1" applyAlignment="1">
      <alignment horizontal="left"/>
    </xf>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9" fontId="44" fillId="0" borderId="0" xfId="2" applyNumberFormat="1" applyFont="1" applyFill="1" applyAlignment="1"/>
    <xf numFmtId="3" fontId="39" fillId="0" borderId="0" xfId="2" applyNumberFormat="1" applyFont="1" applyBorder="1" applyAlignment="1"/>
    <xf numFmtId="165" fontId="47" fillId="0" borderId="0" xfId="2" applyNumberFormat="1" applyFont="1" applyBorder="1" applyAlignment="1"/>
    <xf numFmtId="165" fontId="40" fillId="0" borderId="0" xfId="2" applyNumberFormat="1" applyFont="1" applyBorder="1" applyAlignment="1"/>
    <xf numFmtId="165" fontId="39" fillId="0" borderId="0" xfId="2" applyNumberFormat="1" applyFont="1"/>
    <xf numFmtId="164" fontId="39" fillId="0" borderId="0" xfId="2" applyNumberFormat="1" applyFont="1" applyAlignment="1"/>
    <xf numFmtId="166" fontId="46" fillId="0" borderId="0" xfId="2" quotePrefix="1" applyNumberFormat="1" applyFont="1" applyBorder="1" applyAlignment="1">
      <alignment horizontal="left"/>
    </xf>
    <xf numFmtId="0" fontId="42" fillId="0" borderId="0" xfId="2" applyNumberFormat="1" applyFont="1" applyAlignment="1"/>
    <xf numFmtId="0" fontId="76" fillId="0" borderId="0" xfId="2" applyNumberFormat="1" applyFont="1" applyAlignment="1"/>
    <xf numFmtId="174" fontId="44" fillId="0" borderId="17" xfId="2" applyNumberFormat="1" applyFont="1" applyBorder="1" applyAlignment="1"/>
    <xf numFmtId="0" fontId="39" fillId="0" borderId="0" xfId="2"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8" fontId="44" fillId="0" borderId="0" xfId="2" applyNumberFormat="1" applyFont="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4"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0" xfId="2" applyNumberFormat="1" applyFont="1" applyBorder="1" applyAlignment="1"/>
    <xf numFmtId="170" fontId="44" fillId="0" borderId="16" xfId="2" applyNumberFormat="1" applyFont="1" applyFill="1" applyBorder="1" applyAlignment="1"/>
    <xf numFmtId="164" fontId="44"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44" fillId="0" borderId="17" xfId="2" applyNumberFormat="1" applyFont="1" applyBorder="1" applyAlignment="1"/>
    <xf numFmtId="168" fontId="39" fillId="0" borderId="36"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18" xfId="2" applyNumberFormat="1" applyFont="1" applyBorder="1" applyAlignment="1"/>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68" fontId="42" fillId="0" borderId="0" xfId="2" applyNumberFormat="1" applyFont="1" applyAlignment="1"/>
    <xf numFmtId="0" fontId="85" fillId="0" borderId="0" xfId="2" applyNumberFormat="1" applyFont="1" applyAlignment="1"/>
    <xf numFmtId="166" fontId="64" fillId="0" borderId="0" xfId="2" applyNumberFormat="1" applyFont="1" applyFill="1" applyAlignment="1"/>
    <xf numFmtId="164" fontId="39" fillId="0" borderId="0" xfId="2" applyNumberFormat="1" applyFont="1" applyAlignment="1">
      <alignment horizontal="right"/>
    </xf>
    <xf numFmtId="164" fontId="44" fillId="0" borderId="10" xfId="2" applyNumberFormat="1" applyFont="1" applyBorder="1"/>
    <xf numFmtId="0" fontId="42" fillId="0" borderId="0" xfId="4" applyFont="1" applyFill="1"/>
    <xf numFmtId="166" fontId="42" fillId="0" borderId="0" xfId="4" applyNumberFormat="1" applyFont="1" applyFill="1"/>
    <xf numFmtId="0" fontId="42" fillId="0" borderId="0" xfId="4" applyFont="1" applyFill="1"/>
    <xf numFmtId="0" fontId="67" fillId="0" borderId="0" xfId="4" quotePrefix="1" applyFont="1" applyFill="1" applyAlignment="1">
      <alignment horizontal="left"/>
    </xf>
    <xf numFmtId="0" fontId="86" fillId="0" borderId="0" xfId="4" applyFill="1" applyAlignment="1"/>
    <xf numFmtId="0" fontId="67" fillId="0" borderId="0" xfId="4" applyFont="1" applyFill="1"/>
    <xf numFmtId="0" fontId="39" fillId="0" borderId="0" xfId="4" applyFont="1" applyFill="1"/>
    <xf numFmtId="166" fontId="39" fillId="0" borderId="0" xfId="4" applyNumberFormat="1" applyFont="1" applyFill="1"/>
    <xf numFmtId="0" fontId="44" fillId="0" borderId="0" xfId="4" applyFont="1" applyFill="1" applyAlignment="1">
      <alignment horizontal="center"/>
    </xf>
    <xf numFmtId="0" fontId="39" fillId="0" borderId="0" xfId="4" applyFont="1" applyFill="1" applyBorder="1"/>
    <xf numFmtId="0" fontId="39" fillId="0" borderId="0" xfId="4" applyFont="1" applyFill="1" applyAlignment="1">
      <alignment horizontal="center"/>
    </xf>
    <xf numFmtId="0" fontId="39" fillId="0" borderId="0" xfId="4" applyNumberFormat="1" applyFont="1" applyFill="1" applyBorder="1" applyAlignment="1">
      <alignment horizontal="center"/>
    </xf>
    <xf numFmtId="0" fontId="39" fillId="0" borderId="0" xfId="4" applyFont="1" applyFill="1" applyBorder="1" applyAlignment="1">
      <alignment horizontal="center"/>
    </xf>
    <xf numFmtId="166" fontId="39" fillId="0" borderId="0" xfId="4" applyNumberFormat="1" applyFont="1" applyFill="1" applyBorder="1" applyAlignment="1">
      <alignment horizontal="center"/>
    </xf>
    <xf numFmtId="0" fontId="39" fillId="0" borderId="0" xfId="4" quotePrefix="1" applyFont="1" applyFill="1" applyBorder="1" applyAlignment="1">
      <alignment horizontal="center"/>
    </xf>
    <xf numFmtId="169" fontId="39" fillId="0" borderId="0" xfId="4" applyNumberFormat="1" applyFont="1" applyFill="1" applyBorder="1" applyAlignment="1">
      <alignment horizontal="center"/>
    </xf>
    <xf numFmtId="0" fontId="39" fillId="0" borderId="15" xfId="4" applyNumberFormat="1" applyFont="1" applyFill="1" applyBorder="1" applyAlignment="1">
      <alignment horizontal="center"/>
    </xf>
    <xf numFmtId="0" fontId="39" fillId="0" borderId="0" xfId="4" applyFont="1" applyFill="1" applyBorder="1"/>
    <xf numFmtId="0" fontId="39" fillId="0" borderId="0" xfId="4" applyFont="1" applyFill="1"/>
    <xf numFmtId="0" fontId="44" fillId="0" borderId="0" xfId="4" applyFont="1" applyFill="1" applyAlignment="1">
      <alignment horizontal="left"/>
    </xf>
    <xf numFmtId="174" fontId="44" fillId="0" borderId="0" xfId="4" applyNumberFormat="1" applyFont="1" applyFill="1"/>
    <xf numFmtId="174" fontId="44" fillId="0" borderId="0" xfId="4" quotePrefix="1" applyNumberFormat="1" applyFont="1" applyFill="1" applyAlignment="1">
      <alignment horizontal="right"/>
    </xf>
    <xf numFmtId="174" fontId="44" fillId="0" borderId="13" xfId="4" applyNumberFormat="1" applyFont="1" applyFill="1" applyBorder="1"/>
    <xf numFmtId="174" fontId="44" fillId="0" borderId="0" xfId="4" applyNumberFormat="1" applyFont="1" applyFill="1" applyBorder="1" applyAlignment="1">
      <alignment horizontal="center"/>
    </xf>
    <xf numFmtId="174" fontId="44" fillId="0" borderId="15" xfId="4" applyNumberFormat="1" applyFont="1" applyFill="1" applyBorder="1"/>
    <xf numFmtId="174" fontId="44" fillId="0" borderId="0" xfId="4" applyNumberFormat="1" applyFont="1" applyFill="1" applyBorder="1"/>
    <xf numFmtId="0" fontId="44" fillId="0" borderId="0" xfId="4" applyFont="1" applyFill="1" applyBorder="1"/>
    <xf numFmtId="164" fontId="44" fillId="0" borderId="0" xfId="4" applyNumberFormat="1" applyFont="1" applyFill="1"/>
    <xf numFmtId="0" fontId="39" fillId="0" borderId="13" xfId="4" applyFont="1" applyFill="1" applyBorder="1"/>
    <xf numFmtId="166" fontId="39" fillId="0" borderId="13" xfId="4" applyNumberFormat="1" applyFont="1" applyFill="1" applyBorder="1"/>
    <xf numFmtId="166" fontId="39" fillId="0" borderId="15" xfId="4" applyNumberFormat="1" applyFont="1" applyFill="1" applyBorder="1"/>
    <xf numFmtId="166" fontId="39" fillId="0" borderId="0" xfId="4" applyNumberFormat="1" applyFont="1" applyFill="1" applyBorder="1"/>
    <xf numFmtId="0" fontId="44" fillId="0" borderId="0" xfId="4" applyFont="1" applyFill="1"/>
    <xf numFmtId="0" fontId="42" fillId="0" borderId="0" xfId="4" quotePrefix="1" applyFont="1" applyFill="1" applyAlignment="1">
      <alignment horizontal="left"/>
    </xf>
    <xf numFmtId="170" fontId="39" fillId="0" borderId="0" xfId="4" applyNumberFormat="1" applyFont="1" applyFill="1"/>
    <xf numFmtId="170" fontId="39" fillId="0" borderId="0" xfId="4" applyNumberFormat="1" applyFont="1" applyFill="1" applyAlignment="1">
      <alignment horizontal="right"/>
    </xf>
    <xf numFmtId="170" fontId="39" fillId="0" borderId="13" xfId="4" applyNumberFormat="1" applyFont="1" applyFill="1" applyBorder="1"/>
    <xf numFmtId="170" fontId="39" fillId="0" borderId="0" xfId="4" applyNumberFormat="1" applyFont="1" applyFill="1" applyBorder="1" applyAlignment="1">
      <alignment horizontal="center"/>
    </xf>
    <xf numFmtId="170" fontId="39" fillId="0" borderId="15" xfId="4" applyNumberFormat="1" applyFont="1" applyFill="1" applyBorder="1"/>
    <xf numFmtId="170" fontId="39" fillId="0" borderId="0" xfId="4" applyNumberFormat="1" applyFont="1" applyFill="1" applyBorder="1"/>
    <xf numFmtId="164" fontId="39" fillId="0" borderId="0" xfId="4" applyNumberFormat="1" applyFont="1" applyFill="1"/>
    <xf numFmtId="170" fontId="39" fillId="0" borderId="0" xfId="5" applyNumberFormat="1" applyFont="1" applyFill="1"/>
    <xf numFmtId="170" fontId="39" fillId="0" borderId="10" xfId="4" quotePrefix="1" applyNumberFormat="1" applyFont="1" applyFill="1" applyBorder="1" applyAlignment="1"/>
    <xf numFmtId="170" fontId="44" fillId="0" borderId="10" xfId="4" applyNumberFormat="1" applyFont="1" applyFill="1" applyBorder="1"/>
    <xf numFmtId="170" fontId="44" fillId="0" borderId="0" xfId="4" applyNumberFormat="1" applyFont="1" applyFill="1"/>
    <xf numFmtId="170" fontId="44" fillId="0" borderId="0" xfId="4" applyNumberFormat="1" applyFont="1" applyFill="1" applyAlignment="1">
      <alignment horizontal="right"/>
    </xf>
    <xf numFmtId="170" fontId="44" fillId="0" borderId="13" xfId="4" applyNumberFormat="1" applyFont="1" applyFill="1" applyBorder="1"/>
    <xf numFmtId="170" fontId="44" fillId="0" borderId="0" xfId="4" applyNumberFormat="1" applyFont="1" applyFill="1" applyBorder="1" applyAlignment="1">
      <alignment horizontal="center"/>
    </xf>
    <xf numFmtId="170" fontId="44" fillId="0" borderId="15" xfId="4" applyNumberFormat="1" applyFont="1" applyFill="1" applyBorder="1"/>
    <xf numFmtId="0" fontId="43" fillId="0" borderId="0" xfId="4" applyFont="1" applyFill="1"/>
    <xf numFmtId="0" fontId="44" fillId="0" borderId="0" xfId="4" quotePrefix="1" applyFont="1" applyFill="1" applyAlignment="1">
      <alignment horizontal="left"/>
    </xf>
    <xf numFmtId="0" fontId="39" fillId="0" borderId="0" xfId="4" quotePrefix="1" applyFont="1" applyFill="1" applyAlignment="1">
      <alignment horizontal="left"/>
    </xf>
    <xf numFmtId="170" fontId="39" fillId="0" borderId="10" xfId="4" applyNumberFormat="1" applyFont="1" applyFill="1" applyBorder="1"/>
    <xf numFmtId="170" fontId="39" fillId="0" borderId="0" xfId="4" applyNumberFormat="1" applyFont="1" applyFill="1" applyAlignment="1">
      <alignment horizontal="center"/>
    </xf>
    <xf numFmtId="170" fontId="44" fillId="0" borderId="10" xfId="5" applyNumberFormat="1" applyFont="1" applyFill="1" applyBorder="1"/>
    <xf numFmtId="166" fontId="39" fillId="0" borderId="0" xfId="4" applyNumberFormat="1" applyFont="1" applyFill="1" applyAlignment="1">
      <alignment horizontal="center"/>
    </xf>
    <xf numFmtId="166" fontId="39" fillId="0" borderId="19" xfId="4" applyNumberFormat="1" applyFont="1" applyFill="1" applyBorder="1"/>
    <xf numFmtId="166" fontId="39" fillId="0" borderId="19" xfId="4" applyNumberFormat="1" applyFont="1" applyFill="1" applyBorder="1" applyAlignment="1">
      <alignment horizontal="right"/>
    </xf>
    <xf numFmtId="166" fontId="39" fillId="0" borderId="0" xfId="4" applyNumberFormat="1" applyFont="1" applyFill="1" applyBorder="1" applyAlignment="1">
      <alignment horizontal="right"/>
    </xf>
    <xf numFmtId="174" fontId="44" fillId="0" borderId="17" xfId="4" applyNumberFormat="1" applyFont="1" applyFill="1" applyBorder="1"/>
    <xf numFmtId="174" fontId="44" fillId="0" borderId="17" xfId="4" applyNumberFormat="1" applyFont="1" applyFill="1" applyBorder="1" applyAlignment="1">
      <alignment horizontal="center"/>
    </xf>
    <xf numFmtId="0" fontId="43" fillId="0" borderId="0" xfId="4" applyFont="1" applyFill="1"/>
    <xf numFmtId="169" fontId="42" fillId="0" borderId="0" xfId="4" applyNumberFormat="1" applyFont="1" applyFill="1" applyBorder="1"/>
    <xf numFmtId="169" fontId="42" fillId="0" borderId="0" xfId="4" applyNumberFormat="1" applyFont="1" applyFill="1"/>
    <xf numFmtId="169" fontId="42" fillId="0" borderId="0" xfId="4" quotePrefix="1" applyNumberFormat="1" applyFont="1" applyFill="1" applyBorder="1" applyAlignment="1">
      <alignment horizontal="right"/>
    </xf>
    <xf numFmtId="0" fontId="42" fillId="0" borderId="0" xfId="4" applyNumberFormat="1" applyFont="1" applyFill="1" applyBorder="1" applyAlignment="1">
      <alignment horizontal="center"/>
    </xf>
    <xf numFmtId="0" fontId="42" fillId="0" borderId="0" xfId="4" applyFont="1" applyFill="1" applyBorder="1"/>
    <xf numFmtId="164" fontId="42" fillId="0" borderId="0" xfId="4" applyNumberFormat="1" applyFont="1" applyFill="1" applyBorder="1"/>
    <xf numFmtId="39" fontId="42" fillId="0" borderId="0" xfId="4" applyNumberFormat="1" applyFont="1" applyFill="1"/>
    <xf numFmtId="43" fontId="42" fillId="0" borderId="0" xfId="5" applyFont="1" applyFill="1"/>
    <xf numFmtId="43" fontId="42" fillId="0" borderId="0" xfId="4" applyNumberFormat="1" applyFont="1" applyFill="1"/>
    <xf numFmtId="49" fontId="87" fillId="0" borderId="0" xfId="4" applyNumberFormat="1" applyFont="1" applyFill="1" applyAlignment="1">
      <alignment horizontal="left"/>
    </xf>
    <xf numFmtId="0" fontId="87" fillId="0" borderId="0" xfId="4" applyNumberFormat="1" applyFont="1" applyFill="1" applyAlignment="1">
      <alignment horizontal="left"/>
    </xf>
    <xf numFmtId="165" fontId="88" fillId="0" borderId="0" xfId="2" applyNumberFormat="1" applyFont="1" applyAlignment="1">
      <alignment horizontal="left"/>
    </xf>
    <xf numFmtId="165" fontId="89" fillId="0" borderId="0" xfId="2" applyNumberFormat="1" applyFont="1" applyAlignment="1"/>
    <xf numFmtId="165" fontId="90" fillId="0" borderId="0" xfId="2" applyNumberFormat="1" applyFont="1" applyAlignment="1"/>
    <xf numFmtId="165" fontId="91" fillId="0" borderId="0" xfId="2" applyNumberFormat="1" applyFont="1" applyAlignment="1">
      <alignment horizontal="centerContinuous"/>
    </xf>
    <xf numFmtId="165" fontId="88" fillId="0" borderId="0" xfId="2" applyNumberFormat="1" applyFont="1" applyAlignment="1"/>
    <xf numFmtId="0" fontId="81" fillId="0" borderId="0" xfId="2" applyNumberFormat="1" applyFont="1" applyAlignment="1"/>
    <xf numFmtId="0" fontId="67" fillId="0" borderId="0" xfId="2" applyNumberFormat="1" applyFont="1" applyAlignment="1">
      <alignment horizontal="left"/>
    </xf>
    <xf numFmtId="165" fontId="88" fillId="0" borderId="0" xfId="2" applyNumberFormat="1" applyFont="1" applyAlignment="1">
      <alignment horizontal="centerContinuous"/>
    </xf>
    <xf numFmtId="0" fontId="92" fillId="0" borderId="0" xfId="2" applyNumberFormat="1" applyFont="1" applyAlignment="1">
      <alignment horizontal="left"/>
    </xf>
    <xf numFmtId="165" fontId="93"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88" fillId="0" borderId="0" xfId="2" applyNumberFormat="1" applyFont="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3" fillId="0" borderId="0" xfId="2" applyNumberFormat="1" applyFont="1" applyAlignment="1">
      <alignment horizontal="left"/>
    </xf>
    <xf numFmtId="0" fontId="83" fillId="0" borderId="0" xfId="2" applyFont="1" applyAlignment="1"/>
    <xf numFmtId="0" fontId="83" fillId="0" borderId="0" xfId="2" applyFont="1"/>
    <xf numFmtId="169" fontId="0" fillId="0" borderId="0" xfId="2" applyNumberFormat="1" applyFont="1"/>
    <xf numFmtId="166" fontId="83"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78" fontId="0" fillId="0" borderId="0" xfId="2" applyNumberFormat="1" applyFont="1"/>
    <xf numFmtId="169" fontId="39" fillId="0" borderId="0" xfId="6" applyNumberFormat="1" applyFont="1" applyBorder="1" applyAlignment="1"/>
    <xf numFmtId="165" fontId="90"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80" fillId="0" borderId="0" xfId="2" applyNumberFormat="1" applyFont="1" applyAlignment="1">
      <alignment horizontal="right"/>
    </xf>
    <xf numFmtId="166" fontId="76" fillId="0" borderId="0" xfId="2" applyNumberFormat="1" applyFont="1" applyAlignment="1"/>
    <xf numFmtId="170" fontId="62" fillId="0" borderId="0" xfId="2" quotePrefix="1" applyNumberFormat="1" applyFont="1" applyAlignment="1"/>
    <xf numFmtId="170" fontId="60" fillId="0" borderId="0" xfId="2" applyNumberFormat="1" applyFont="1" applyAlignment="1">
      <alignment horizontal="right"/>
    </xf>
    <xf numFmtId="170" fontId="77" fillId="0" borderId="20" xfId="2" applyNumberFormat="1" applyFont="1" applyBorder="1" applyAlignment="1"/>
    <xf numFmtId="170" fontId="77" fillId="0" borderId="20" xfId="2" applyNumberFormat="1" applyFont="1" applyBorder="1" applyAlignment="1">
      <alignment horizontal="right"/>
    </xf>
    <xf numFmtId="170" fontId="80" fillId="0" borderId="13" xfId="2" applyNumberFormat="1" applyFont="1" applyBorder="1" applyAlignment="1"/>
    <xf numFmtId="170" fontId="80" fillId="0" borderId="0" xfId="2" applyNumberFormat="1" applyFont="1" applyBorder="1" applyAlignment="1">
      <alignment horizontal="right"/>
    </xf>
    <xf numFmtId="170" fontId="80" fillId="0" borderId="0" xfId="2" applyNumberFormat="1" applyFont="1" applyAlignment="1">
      <alignment horizontal="center"/>
    </xf>
    <xf numFmtId="170" fontId="66" fillId="0" borderId="0" xfId="2" applyNumberFormat="1" applyFont="1" applyAlignment="1">
      <alignment horizontal="right"/>
    </xf>
    <xf numFmtId="166" fontId="80" fillId="0" borderId="20" xfId="2" applyNumberFormat="1" applyFont="1" applyBorder="1" applyAlignment="1"/>
    <xf numFmtId="166" fontId="80" fillId="0" borderId="20" xfId="2" applyNumberFormat="1" applyFont="1" applyBorder="1" applyAlignment="1">
      <alignment horizontal="right"/>
    </xf>
    <xf numFmtId="166" fontId="80" fillId="0" borderId="0" xfId="2" applyNumberFormat="1" applyFont="1" applyAlignment="1">
      <alignment horizontal="right"/>
    </xf>
    <xf numFmtId="166" fontId="76" fillId="0" borderId="0" xfId="2" applyNumberFormat="1" applyFont="1" applyAlignment="1">
      <alignment horizontal="right"/>
    </xf>
    <xf numFmtId="166" fontId="80" fillId="0" borderId="21" xfId="2" applyNumberFormat="1" applyFont="1" applyBorder="1" applyAlignment="1"/>
    <xf numFmtId="174" fontId="80" fillId="0" borderId="0" xfId="2" applyNumberFormat="1" applyFont="1" applyBorder="1" applyAlignment="1">
      <alignment horizontal="right"/>
    </xf>
    <xf numFmtId="166" fontId="79" fillId="0" borderId="36" xfId="2" applyNumberFormat="1" applyFont="1" applyBorder="1" applyAlignment="1"/>
    <xf numFmtId="165" fontId="79" fillId="0" borderId="0" xfId="2" applyNumberFormat="1" applyFont="1" applyAlignment="1"/>
    <xf numFmtId="165" fontId="94" fillId="0" borderId="0" xfId="2" applyNumberFormat="1" applyFont="1" applyAlignment="1"/>
    <xf numFmtId="165" fontId="62" fillId="0" borderId="20" xfId="2" applyNumberFormat="1" applyFont="1" applyBorder="1" applyAlignment="1"/>
    <xf numFmtId="174" fontId="67" fillId="0" borderId="0" xfId="2" applyNumberFormat="1" applyFont="1" applyAlignment="1"/>
    <xf numFmtId="174" fontId="67" fillId="0" borderId="21" xfId="2" applyNumberFormat="1" applyFont="1" applyBorder="1" applyAlignment="1"/>
    <xf numFmtId="174" fontId="67" fillId="0" borderId="13" xfId="2" applyNumberFormat="1" applyFont="1" applyBorder="1" applyAlignment="1"/>
    <xf numFmtId="174" fontId="67" fillId="0" borderId="0" xfId="2" applyNumberFormat="1" applyFont="1" applyBorder="1" applyAlignment="1"/>
    <xf numFmtId="0" fontId="62" fillId="0" borderId="0" xfId="2" applyFont="1" applyAlignment="1"/>
    <xf numFmtId="0" fontId="62" fillId="0" borderId="21" xfId="2" applyFont="1" applyBorder="1" applyAlignment="1"/>
    <xf numFmtId="0" fontId="62" fillId="0" borderId="13" xfId="2" applyFont="1" applyBorder="1" applyAlignment="1"/>
    <xf numFmtId="0" fontId="62" fillId="0" borderId="0" xfId="2" applyFont="1" applyBorder="1" applyAlignment="1"/>
    <xf numFmtId="170" fontId="62" fillId="0" borderId="21" xfId="2" applyNumberFormat="1" applyFont="1" applyBorder="1" applyAlignment="1"/>
    <xf numFmtId="170" fontId="62" fillId="0" borderId="13" xfId="2" applyNumberFormat="1" applyFont="1" applyBorder="1" applyAlignment="1"/>
    <xf numFmtId="170" fontId="62" fillId="0" borderId="20"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67" fillId="0" borderId="13" xfId="2" applyNumberFormat="1" applyFont="1" applyBorder="1" applyAlignment="1"/>
    <xf numFmtId="170" fontId="67" fillId="0" borderId="0" xfId="2" applyNumberFormat="1" applyFont="1" applyBorder="1" applyAlignment="1"/>
    <xf numFmtId="170" fontId="67" fillId="0" borderId="0" xfId="2" applyNumberFormat="1" applyFont="1" applyAlignment="1">
      <alignment horizontal="right"/>
    </xf>
    <xf numFmtId="0" fontId="62" fillId="0" borderId="20" xfId="2" applyFont="1" applyBorder="1" applyAlignment="1"/>
    <xf numFmtId="174" fontId="67" fillId="0" borderId="17" xfId="2" applyNumberFormat="1" applyFont="1" applyBorder="1" applyAlignment="1"/>
    <xf numFmtId="0" fontId="62" fillId="0" borderId="36" xfId="2" applyFont="1" applyBorder="1" applyAlignment="1"/>
    <xf numFmtId="165" fontId="62" fillId="0" borderId="0" xfId="2" quotePrefix="1" applyNumberFormat="1" applyFont="1" applyAlignment="1"/>
    <xf numFmtId="0" fontId="95" fillId="0" borderId="0" xfId="2" applyNumberFormat="1" applyFont="1" applyAlignment="1"/>
    <xf numFmtId="0" fontId="67" fillId="0" borderId="0" xfId="2" applyNumberFormat="1" applyFont="1" applyAlignment="1">
      <alignment horizontal="right"/>
    </xf>
    <xf numFmtId="0" fontId="96" fillId="0" borderId="0" xfId="2" applyNumberFormat="1" applyFont="1" applyAlignment="1"/>
    <xf numFmtId="170" fontId="44" fillId="0" borderId="0" xfId="2" applyNumberFormat="1" applyFont="1" applyBorder="1" applyAlignment="1">
      <alignment horizontal="right"/>
    </xf>
    <xf numFmtId="0" fontId="97" fillId="0" borderId="0" xfId="2" applyNumberFormat="1" applyFont="1" applyAlignment="1"/>
    <xf numFmtId="170" fontId="44" fillId="0" borderId="18" xfId="2" applyNumberFormat="1" applyFont="1" applyBorder="1" applyAlignment="1"/>
    <xf numFmtId="0" fontId="96" fillId="0" borderId="0" xfId="2" applyNumberFormat="1" applyFont="1" applyAlignment="1">
      <alignment horizontal="left"/>
    </xf>
    <xf numFmtId="0" fontId="96" fillId="0" borderId="0" xfId="2" applyNumberFormat="1" applyFont="1" applyBorder="1" applyAlignment="1"/>
    <xf numFmtId="0" fontId="95" fillId="0" borderId="0" xfId="2" applyNumberFormat="1" applyFont="1" applyBorder="1" applyAlignment="1"/>
    <xf numFmtId="0" fontId="96" fillId="0" borderId="0" xfId="2" applyFont="1" applyBorder="1" applyAlignment="1"/>
    <xf numFmtId="0" fontId="95" fillId="0" borderId="0" xfId="2" applyFont="1" applyBorder="1" applyAlignment="1"/>
    <xf numFmtId="182" fontId="42" fillId="0" borderId="0" xfId="11" applyNumberFormat="1" applyFont="1" applyFill="1" applyBorder="1"/>
    <xf numFmtId="182"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71" fillId="0" borderId="0" xfId="17" applyNumberFormat="1" applyFont="1" applyAlignment="1"/>
    <xf numFmtId="189" fontId="0" fillId="0" borderId="0" xfId="17" applyNumberFormat="1" applyFont="1"/>
    <xf numFmtId="189" fontId="0" fillId="0" borderId="0" xfId="17" applyNumberFormat="1" applyFont="1" applyAlignment="1">
      <alignment horizontal="right"/>
    </xf>
    <xf numFmtId="189" fontId="0" fillId="0" borderId="0" xfId="17" applyNumberFormat="1" applyFont="1" applyFill="1"/>
    <xf numFmtId="177" fontId="0" fillId="0" borderId="0" xfId="17" applyNumberFormat="1" applyFont="1"/>
    <xf numFmtId="174" fontId="44" fillId="0" borderId="0" xfId="17" applyNumberFormat="1" applyFont="1" applyBorder="1" applyAlignment="1"/>
    <xf numFmtId="0" fontId="0" fillId="0" borderId="0" xfId="17" applyNumberFormat="1" applyFont="1" applyFill="1"/>
    <xf numFmtId="190" fontId="109" fillId="0" borderId="0" xfId="11" applyNumberFormat="1" applyFont="1" applyAlignment="1">
      <alignment horizontal="right"/>
    </xf>
    <xf numFmtId="190" fontId="66" fillId="0" borderId="0" xfId="11" applyNumberFormat="1" applyFont="1" applyAlignment="1"/>
    <xf numFmtId="43" fontId="76" fillId="0" borderId="0" xfId="11" applyFont="1" applyAlignment="1"/>
    <xf numFmtId="190" fontId="42" fillId="0" borderId="0" xfId="11"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6" fillId="0" borderId="0" xfId="739" applyNumberFormat="1" applyFont="1" applyAlignment="1"/>
    <xf numFmtId="0" fontId="95" fillId="0" borderId="0" xfId="739" applyNumberFormat="1" applyFont="1" applyAlignment="1"/>
    <xf numFmtId="0" fontId="96" fillId="0" borderId="0" xfId="739" applyNumberFormat="1" applyFont="1" applyBorder="1" applyAlignment="1"/>
    <xf numFmtId="37" fontId="95" fillId="0" borderId="0" xfId="739" applyNumberFormat="1" applyFont="1" applyBorder="1" applyAlignment="1"/>
    <xf numFmtId="0" fontId="97" fillId="0" borderId="0" xfId="739" applyNumberFormat="1" applyFont="1" applyAlignment="1"/>
    <xf numFmtId="37" fontId="95" fillId="0" borderId="0" xfId="739" applyNumberFormat="1" applyFont="1" applyAlignment="1"/>
    <xf numFmtId="37" fontId="96" fillId="0" borderId="42" xfId="739" quotePrefix="1" applyNumberFormat="1" applyFont="1" applyBorder="1" applyAlignment="1">
      <alignment horizontal="center"/>
    </xf>
    <xf numFmtId="37" fontId="133" fillId="0" borderId="0" xfId="2" applyNumberFormat="1" applyFont="1"/>
    <xf numFmtId="37" fontId="133" fillId="0" borderId="0" xfId="2" applyNumberFormat="1" applyFont="1" applyFill="1"/>
    <xf numFmtId="37" fontId="134" fillId="0" borderId="0" xfId="2" applyNumberFormat="1" applyFont="1" applyFill="1" applyAlignment="1"/>
    <xf numFmtId="37" fontId="134" fillId="0" borderId="0" xfId="2" applyNumberFormat="1" applyFont="1" applyAlignment="1"/>
    <xf numFmtId="0" fontId="132" fillId="0" borderId="0" xfId="2" applyFont="1" applyFill="1" applyBorder="1" applyAlignment="1">
      <alignment horizontal="center"/>
    </xf>
    <xf numFmtId="37" fontId="132" fillId="0" borderId="0" xfId="2" applyNumberFormat="1" applyFont="1" applyFill="1" applyAlignment="1"/>
    <xf numFmtId="37" fontId="131" fillId="0" borderId="0" xfId="2" applyNumberFormat="1" applyFont="1" applyBorder="1"/>
    <xf numFmtId="37" fontId="131" fillId="0" borderId="0" xfId="2" applyNumberFormat="1" applyFont="1" applyFill="1" applyBorder="1"/>
    <xf numFmtId="37" fontId="132" fillId="0" borderId="0" xfId="2" applyNumberFormat="1" applyFont="1" applyAlignment="1"/>
    <xf numFmtId="165" fontId="136" fillId="0" borderId="0" xfId="2" applyNumberFormat="1" applyFont="1" applyFill="1" applyAlignment="1"/>
    <xf numFmtId="166" fontId="65" fillId="0" borderId="0" xfId="2" applyNumberFormat="1" applyFont="1" applyAlignment="1"/>
    <xf numFmtId="177" fontId="44" fillId="0" borderId="0" xfId="740" applyNumberFormat="1" applyFont="1" applyAlignment="1"/>
    <xf numFmtId="177" fontId="42" fillId="0" borderId="0" xfId="740" applyNumberFormat="1" applyFont="1" applyAlignment="1"/>
    <xf numFmtId="0" fontId="85" fillId="33" borderId="0" xfId="740" applyFont="1" applyFill="1" applyAlignment="1">
      <alignment horizontal="right"/>
    </xf>
    <xf numFmtId="165" fontId="100" fillId="0" borderId="0" xfId="740" applyNumberFormat="1" applyFont="1" applyAlignment="1"/>
    <xf numFmtId="177" fontId="44" fillId="0" borderId="0" xfId="740" applyNumberFormat="1" applyFont="1" applyAlignment="1">
      <alignment horizontal="center"/>
    </xf>
    <xf numFmtId="177" fontId="44" fillId="0" borderId="0" xfId="740" applyNumberFormat="1" applyFont="1" applyBorder="1" applyAlignment="1"/>
    <xf numFmtId="177" fontId="44" fillId="0" borderId="0" xfId="740" applyNumberFormat="1" applyFont="1" applyBorder="1" applyAlignment="1">
      <alignment horizontal="center"/>
    </xf>
    <xf numFmtId="179" fontId="44" fillId="0" borderId="10" xfId="740" quotePrefix="1" applyNumberFormat="1" applyFont="1" applyBorder="1" applyAlignment="1">
      <alignment horizontal="center"/>
    </xf>
    <xf numFmtId="177" fontId="44" fillId="0" borderId="0" xfId="740" quotePrefix="1" applyNumberFormat="1" applyFont="1" applyBorder="1" applyAlignment="1">
      <alignment horizontal="center"/>
    </xf>
    <xf numFmtId="177" fontId="71" fillId="0" borderId="0" xfId="740" applyNumberFormat="1" applyFont="1" applyAlignment="1"/>
    <xf numFmtId="177" fontId="44" fillId="0" borderId="0" xfId="740" quotePrefix="1" applyNumberFormat="1" applyFont="1" applyFill="1" applyAlignment="1">
      <alignment horizontal="left"/>
    </xf>
    <xf numFmtId="177" fontId="44" fillId="0" borderId="16" xfId="740" applyNumberFormat="1" applyFont="1" applyFill="1" applyBorder="1" applyAlignment="1">
      <alignment horizontal="right"/>
    </xf>
    <xf numFmtId="177" fontId="44" fillId="0" borderId="0" xfId="740" applyNumberFormat="1" applyFont="1" applyFill="1" applyAlignment="1">
      <alignment horizontal="center"/>
    </xf>
    <xf numFmtId="177" fontId="71" fillId="0" borderId="0" xfId="740" applyNumberFormat="1" applyFont="1" applyFill="1" applyAlignment="1"/>
    <xf numFmtId="177" fontId="100" fillId="0" borderId="0" xfId="740" applyNumberFormat="1" applyFont="1" applyAlignment="1"/>
    <xf numFmtId="177" fontId="100" fillId="0" borderId="0" xfId="740" applyNumberFormat="1" applyFont="1" applyFill="1" applyAlignment="1"/>
    <xf numFmtId="165" fontId="100" fillId="0" borderId="0" xfId="740" applyNumberFormat="1" applyFont="1" applyFill="1" applyAlignment="1"/>
    <xf numFmtId="177" fontId="44" fillId="0" borderId="0" xfId="740" applyNumberFormat="1" applyFont="1" applyFill="1" applyAlignment="1"/>
    <xf numFmtId="0" fontId="102" fillId="0" borderId="0" xfId="740" applyFont="1"/>
    <xf numFmtId="177" fontId="44" fillId="0" borderId="0" xfId="740" applyNumberFormat="1" applyFont="1" applyAlignment="1">
      <alignment horizontal="left"/>
    </xf>
    <xf numFmtId="177" fontId="44" fillId="0" borderId="10" xfId="740" applyNumberFormat="1" applyFont="1" applyBorder="1" applyAlignment="1"/>
    <xf numFmtId="177" fontId="44" fillId="0" borderId="0" xfId="740" applyNumberFormat="1" applyFont="1"/>
    <xf numFmtId="177" fontId="71" fillId="0" borderId="0" xfId="740" applyNumberFormat="1" applyFont="1" applyAlignment="1">
      <alignment horizontal="left"/>
    </xf>
    <xf numFmtId="177" fontId="44" fillId="0" borderId="16" xfId="740" applyNumberFormat="1" applyFont="1" applyFill="1" applyBorder="1" applyAlignment="1"/>
    <xf numFmtId="177" fontId="44" fillId="0" borderId="0" xfId="740" applyNumberFormat="1" applyFont="1" applyFill="1" applyBorder="1" applyAlignment="1"/>
    <xf numFmtId="177" fontId="44" fillId="0" borderId="0" xfId="740" applyNumberFormat="1" applyFont="1" applyFill="1" applyAlignment="1">
      <alignment horizontal="right"/>
    </xf>
    <xf numFmtId="180" fontId="44" fillId="0" borderId="17" xfId="740" applyNumberFormat="1" applyFont="1" applyFill="1" applyBorder="1" applyAlignment="1"/>
    <xf numFmtId="181" fontId="44" fillId="0" borderId="0" xfId="740" applyNumberFormat="1" applyFont="1" applyFill="1" applyAlignment="1">
      <alignment horizontal="right"/>
    </xf>
    <xf numFmtId="183" fontId="44" fillId="0" borderId="0" xfId="740" applyNumberFormat="1" applyFont="1" applyFill="1" applyBorder="1" applyAlignment="1"/>
    <xf numFmtId="0" fontId="67" fillId="0" borderId="0" xfId="836" applyNumberFormat="1" applyFont="1" applyAlignment="1"/>
    <xf numFmtId="0" fontId="52" fillId="0" borderId="0" xfId="836" applyNumberFormat="1" applyFont="1" applyAlignment="1"/>
    <xf numFmtId="0" fontId="53" fillId="0" borderId="0" xfId="836" applyNumberFormat="1" applyFont="1" applyAlignment="1"/>
    <xf numFmtId="0" fontId="62" fillId="0" borderId="0" xfId="836" applyNumberFormat="1" applyFont="1" applyAlignment="1"/>
    <xf numFmtId="0" fontId="67" fillId="0" borderId="0" xfId="836" applyNumberFormat="1" applyFont="1" applyAlignment="1">
      <alignment horizontal="right"/>
    </xf>
    <xf numFmtId="0" fontId="62" fillId="0" borderId="0" xfId="836" applyFont="1"/>
    <xf numFmtId="0" fontId="67" fillId="0" borderId="0" xfId="836" quotePrefix="1" applyNumberFormat="1" applyFont="1" applyAlignment="1">
      <alignment horizontal="left"/>
    </xf>
    <xf numFmtId="0" fontId="67" fillId="0" borderId="0" xfId="836" applyNumberFormat="1" applyFont="1" applyAlignment="1">
      <alignment horizontal="center"/>
    </xf>
    <xf numFmtId="0" fontId="103" fillId="0" borderId="0" xfId="836" applyNumberFormat="1" applyFont="1" applyAlignment="1">
      <alignment horizontal="center"/>
    </xf>
    <xf numFmtId="0" fontId="63" fillId="0" borderId="20" xfId="836" applyNumberFormat="1" applyFont="1" applyBorder="1" applyAlignment="1"/>
    <xf numFmtId="0" fontId="62" fillId="0" borderId="20" xfId="836" applyNumberFormat="1" applyFont="1" applyBorder="1" applyAlignment="1"/>
    <xf numFmtId="0" fontId="103" fillId="0" borderId="0" xfId="836" applyNumberFormat="1" applyFont="1" applyAlignment="1"/>
    <xf numFmtId="0" fontId="62" fillId="0" borderId="0" xfId="836" applyNumberFormat="1" applyFont="1" applyFill="1" applyAlignment="1"/>
    <xf numFmtId="0" fontId="62" fillId="0" borderId="0" xfId="836" applyNumberFormat="1" applyFont="1" applyFill="1" applyAlignment="1">
      <alignment horizontal="right"/>
    </xf>
    <xf numFmtId="0" fontId="62" fillId="0" borderId="0" xfId="836" applyFont="1" applyFill="1"/>
    <xf numFmtId="177" fontId="62" fillId="0" borderId="0" xfId="836" applyNumberFormat="1" applyFont="1" applyFill="1" applyAlignment="1"/>
    <xf numFmtId="0" fontId="62" fillId="0" borderId="0" xfId="836" quotePrefix="1" applyNumberFormat="1" applyFont="1" applyFill="1" applyAlignment="1">
      <alignment horizontal="left"/>
    </xf>
    <xf numFmtId="177" fontId="62" fillId="0" borderId="0" xfId="836" applyNumberFormat="1" applyFont="1" applyFill="1" applyBorder="1" applyAlignment="1"/>
    <xf numFmtId="177" fontId="67" fillId="0" borderId="16" xfId="836" applyNumberFormat="1" applyFont="1" applyBorder="1" applyAlignment="1">
      <alignment horizontal="right"/>
    </xf>
    <xf numFmtId="185" fontId="67" fillId="0" borderId="0" xfId="836" applyNumberFormat="1" applyFont="1" applyAlignment="1"/>
    <xf numFmtId="185" fontId="62" fillId="0" borderId="20" xfId="836" applyNumberFormat="1" applyFont="1" applyBorder="1" applyAlignment="1"/>
    <xf numFmtId="185" fontId="62" fillId="0" borderId="0" xfId="836" applyNumberFormat="1" applyFont="1" applyAlignment="1"/>
    <xf numFmtId="185" fontId="62" fillId="0" borderId="0" xfId="836" applyNumberFormat="1" applyFont="1" applyAlignment="1">
      <alignment horizontal="right"/>
    </xf>
    <xf numFmtId="181" fontId="67" fillId="0" borderId="0" xfId="836" applyNumberFormat="1" applyFont="1" applyAlignment="1"/>
    <xf numFmtId="185" fontId="62" fillId="0" borderId="20" xfId="836" applyNumberFormat="1" applyFont="1" applyBorder="1" applyAlignment="1">
      <alignment horizontal="right"/>
    </xf>
    <xf numFmtId="185" fontId="62" fillId="0" borderId="0" xfId="836" applyNumberFormat="1" applyFont="1" applyBorder="1" applyAlignment="1">
      <alignment horizontal="right"/>
    </xf>
    <xf numFmtId="0" fontId="62" fillId="0" borderId="0" xfId="836" applyNumberFormat="1" applyFont="1" applyAlignment="1">
      <alignment horizontal="right"/>
    </xf>
    <xf numFmtId="185" fontId="62" fillId="0" borderId="36" xfId="836" applyNumberFormat="1" applyFont="1" applyBorder="1" applyAlignment="1"/>
    <xf numFmtId="181" fontId="62" fillId="0" borderId="0" xfId="836" applyNumberFormat="1" applyFont="1" applyAlignment="1"/>
    <xf numFmtId="0" fontId="39" fillId="0" borderId="0" xfId="836" quotePrefix="1" applyNumberFormat="1" applyFont="1" applyAlignment="1">
      <alignment horizontal="left"/>
    </xf>
    <xf numFmtId="0" fontId="79" fillId="0" borderId="0" xfId="836" applyNumberFormat="1" applyFont="1" applyAlignment="1"/>
    <xf numFmtId="165" fontId="79" fillId="0" borderId="0" xfId="836" applyNumberFormat="1" applyFont="1" applyAlignment="1"/>
    <xf numFmtId="39" fontId="79" fillId="0" borderId="0" xfId="836" applyNumberFormat="1" applyFont="1" applyAlignment="1"/>
    <xf numFmtId="176" fontId="79" fillId="0" borderId="0" xfId="836" applyNumberFormat="1" applyFont="1" applyAlignment="1"/>
    <xf numFmtId="185" fontId="62" fillId="0" borderId="0" xfId="836" quotePrefix="1" applyNumberFormat="1" applyFont="1" applyAlignment="1">
      <alignment horizontal="center"/>
    </xf>
    <xf numFmtId="173" fontId="66" fillId="0" borderId="0" xfId="836" applyNumberFormat="1" applyFont="1" applyFill="1" applyAlignment="1"/>
    <xf numFmtId="0" fontId="67"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7" fillId="0" borderId="0" xfId="836" applyNumberFormat="1" applyFont="1" applyFill="1" applyAlignment="1">
      <alignment horizontal="right"/>
    </xf>
    <xf numFmtId="173" fontId="62" fillId="0" borderId="0" xfId="836" applyNumberFormat="1" applyFont="1" applyFill="1" applyAlignment="1"/>
    <xf numFmtId="0" fontId="44" fillId="0" borderId="0" xfId="836" applyNumberFormat="1" applyFont="1" applyFill="1" applyAlignment="1">
      <alignment horizontal="right"/>
    </xf>
    <xf numFmtId="0" fontId="67" fillId="0" borderId="0" xfId="836" quotePrefix="1" applyNumberFormat="1" applyFont="1" applyFill="1" applyAlignment="1">
      <alignment horizontal="left"/>
    </xf>
    <xf numFmtId="0" fontId="103" fillId="0" borderId="0" xfId="836" applyNumberFormat="1" applyFont="1" applyFill="1" applyAlignment="1"/>
    <xf numFmtId="181" fontId="39" fillId="0" borderId="0" xfId="836" applyNumberFormat="1" applyFont="1" applyFill="1" applyBorder="1" applyAlignment="1"/>
    <xf numFmtId="173" fontId="62" fillId="0" borderId="0" xfId="836" applyNumberFormat="1" applyFont="1" applyFill="1" applyBorder="1" applyAlignment="1"/>
    <xf numFmtId="165" fontId="62" fillId="0" borderId="0" xfId="836" applyNumberFormat="1" applyFont="1" applyFill="1" applyBorder="1" applyAlignment="1"/>
    <xf numFmtId="181" fontId="39" fillId="0" borderId="0" xfId="836" applyNumberFormat="1" applyFont="1" applyFill="1" applyAlignment="1"/>
    <xf numFmtId="181" fontId="44" fillId="0" borderId="0" xfId="836" applyNumberFormat="1" applyFont="1" applyFill="1" applyAlignment="1"/>
    <xf numFmtId="0" fontId="103" fillId="0" borderId="0" xfId="836" applyNumberFormat="1" applyFont="1" applyFill="1" applyBorder="1" applyAlignment="1"/>
    <xf numFmtId="173" fontId="44" fillId="0" borderId="0" xfId="836" applyNumberFormat="1" applyFont="1" applyFill="1" applyAlignment="1"/>
    <xf numFmtId="173" fontId="67" fillId="0" borderId="0" xfId="836" applyNumberFormat="1" applyFont="1" applyFill="1" applyAlignment="1"/>
    <xf numFmtId="181" fontId="39" fillId="0" borderId="0" xfId="836" quotePrefix="1" applyNumberFormat="1" applyFont="1" applyFill="1" applyAlignment="1">
      <alignment horizontal="left"/>
    </xf>
    <xf numFmtId="165" fontId="62" fillId="0" borderId="0" xfId="836" applyNumberFormat="1" applyFont="1" applyFill="1" applyAlignment="1"/>
    <xf numFmtId="173" fontId="67" fillId="0" borderId="0" xfId="836" applyNumberFormat="1" applyFont="1" applyFill="1" applyAlignment="1">
      <alignment horizontal="centerContinuous"/>
    </xf>
    <xf numFmtId="173" fontId="67" fillId="0" borderId="0" xfId="836" applyNumberFormat="1" applyFont="1" applyFill="1" applyAlignment="1">
      <alignment horizontal="center"/>
    </xf>
    <xf numFmtId="0" fontId="103" fillId="0" borderId="0" xfId="836" applyNumberFormat="1" applyFont="1" applyFill="1" applyAlignment="1">
      <alignment horizontal="center"/>
    </xf>
    <xf numFmtId="0" fontId="67" fillId="0" borderId="0" xfId="836" applyNumberFormat="1" applyFont="1" applyFill="1" applyBorder="1" applyAlignment="1">
      <alignment horizontal="center"/>
    </xf>
    <xf numFmtId="173" fontId="62" fillId="0" borderId="0" xfId="836" applyNumberFormat="1" applyFont="1" applyFill="1" applyAlignment="1">
      <alignment horizontal="right"/>
    </xf>
    <xf numFmtId="176" fontId="62" fillId="0" borderId="0" xfId="836" applyNumberFormat="1" applyFont="1" applyFill="1" applyAlignment="1"/>
    <xf numFmtId="173" fontId="62" fillId="0" borderId="0" xfId="836" applyNumberFormat="1" applyFont="1" applyFill="1" applyAlignment="1" applyProtection="1">
      <protection locked="0"/>
    </xf>
    <xf numFmtId="176" fontId="62" fillId="0" borderId="0" xfId="836" applyNumberFormat="1" applyFont="1" applyFill="1" applyAlignment="1" applyProtection="1">
      <protection locked="0"/>
    </xf>
    <xf numFmtId="173" fontId="62" fillId="0" borderId="0" xfId="836" applyNumberFormat="1" applyFont="1" applyFill="1" applyAlignment="1">
      <alignment horizontal="center"/>
    </xf>
    <xf numFmtId="176" fontId="62" fillId="0" borderId="0" xfId="836" applyNumberFormat="1" applyFont="1" applyFill="1" applyAlignment="1" applyProtection="1">
      <alignment horizontal="right"/>
      <protection locked="0"/>
    </xf>
    <xf numFmtId="176" fontId="62" fillId="0" borderId="0" xfId="836" applyNumberFormat="1" applyFont="1" applyFill="1" applyAlignment="1">
      <alignment horizontal="center"/>
    </xf>
    <xf numFmtId="0" fontId="63" fillId="0" borderId="0" xfId="836" applyNumberFormat="1" applyFont="1" applyFill="1" applyAlignment="1"/>
    <xf numFmtId="177" fontId="62" fillId="0" borderId="0" xfId="836" applyNumberFormat="1" applyFont="1" applyAlignment="1"/>
    <xf numFmtId="180" fontId="67" fillId="0" borderId="0" xfId="836" applyNumberFormat="1" applyFont="1" applyAlignment="1">
      <alignment horizontal="right"/>
    </xf>
    <xf numFmtId="165" fontId="42" fillId="0" borderId="0" xfId="840" applyNumberFormat="1" applyFont="1" applyAlignment="1"/>
    <xf numFmtId="165" fontId="109"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6"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6" fillId="0" borderId="0" xfId="840" applyNumberFormat="1" applyFont="1" applyAlignment="1">
      <alignment horizontal="right"/>
    </xf>
    <xf numFmtId="0" fontId="68" fillId="0" borderId="0" xfId="840" quotePrefix="1" applyNumberFormat="1" applyFont="1" applyAlignment="1">
      <alignment horizontal="left"/>
    </xf>
    <xf numFmtId="0" fontId="67" fillId="0" borderId="0" xfId="840" applyNumberFormat="1" applyFont="1" applyAlignment="1"/>
    <xf numFmtId="40" fontId="110"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6" fontId="44" fillId="0" borderId="0" xfId="840" quotePrefix="1" applyNumberFormat="1" applyFont="1" applyBorder="1" applyAlignment="1">
      <alignment horizontal="center"/>
    </xf>
    <xf numFmtId="165" fontId="66"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6" fillId="0" borderId="0" xfId="840" applyNumberFormat="1" applyFont="1" applyAlignment="1"/>
    <xf numFmtId="0" fontId="44" fillId="0" borderId="0" xfId="840" applyNumberFormat="1" applyFont="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0" fontId="116" fillId="0" borderId="0" xfId="841" applyFont="1"/>
    <xf numFmtId="166" fontId="59" fillId="0" borderId="0" xfId="2" applyNumberFormat="1" applyFont="1" applyAlignment="1"/>
    <xf numFmtId="166" fontId="59" fillId="0" borderId="0" xfId="2" quotePrefix="1" applyNumberFormat="1" applyFont="1" applyAlignment="1">
      <alignment horizontal="left"/>
    </xf>
    <xf numFmtId="166" fontId="60" fillId="0" borderId="0" xfId="2" applyNumberFormat="1" applyFont="1" applyAlignment="1">
      <alignment horizontal="center"/>
    </xf>
    <xf numFmtId="166" fontId="60" fillId="0" borderId="20" xfId="2" applyNumberFormat="1" applyFont="1" applyBorder="1" applyAlignment="1"/>
    <xf numFmtId="174" fontId="59" fillId="0" borderId="0" xfId="2" applyNumberFormat="1" applyFont="1" applyAlignment="1"/>
    <xf numFmtId="174" fontId="59" fillId="0" borderId="18" xfId="2" applyNumberFormat="1" applyFont="1" applyBorder="1" applyAlignment="1"/>
    <xf numFmtId="174" fontId="59" fillId="0" borderId="21" xfId="2" applyNumberFormat="1" applyFont="1" applyBorder="1" applyAlignment="1"/>
    <xf numFmtId="166" fontId="60" fillId="0" borderId="0" xfId="2" applyNumberFormat="1" applyFont="1" applyAlignment="1">
      <alignment horizontal="right"/>
    </xf>
    <xf numFmtId="166" fontId="60" fillId="0" borderId="18" xfId="2" applyNumberFormat="1" applyFont="1" applyBorder="1" applyAlignment="1"/>
    <xf numFmtId="166" fontId="60" fillId="0" borderId="21" xfId="2" applyNumberFormat="1" applyFont="1" applyBorder="1" applyAlignment="1"/>
    <xf numFmtId="170" fontId="60" fillId="0" borderId="0" xfId="2" applyNumberFormat="1" applyFont="1" applyAlignment="1"/>
    <xf numFmtId="170" fontId="60" fillId="0" borderId="18" xfId="2" applyNumberFormat="1" applyFont="1" applyBorder="1" applyAlignment="1"/>
    <xf numFmtId="170" fontId="60" fillId="0" borderId="21" xfId="2" applyNumberFormat="1" applyFont="1" applyBorder="1" applyAlignment="1"/>
    <xf numFmtId="170" fontId="60" fillId="0" borderId="13" xfId="2" applyNumberFormat="1" applyFont="1" applyBorder="1" applyAlignment="1"/>
    <xf numFmtId="170" fontId="60" fillId="0" borderId="10" xfId="2" applyNumberFormat="1" applyFont="1" applyBorder="1" applyAlignment="1"/>
    <xf numFmtId="170" fontId="60" fillId="0" borderId="66" xfId="2" applyNumberFormat="1" applyFont="1" applyBorder="1" applyAlignment="1"/>
    <xf numFmtId="166" fontId="60" fillId="0" borderId="19" xfId="2" applyNumberFormat="1" applyFont="1" applyBorder="1" applyAlignment="1"/>
    <xf numFmtId="170" fontId="59" fillId="0" borderId="10" xfId="2" applyNumberFormat="1" applyFont="1" applyBorder="1" applyAlignment="1">
      <alignment horizontal="right"/>
    </xf>
    <xf numFmtId="170" fontId="59" fillId="0" borderId="0" xfId="2" applyNumberFormat="1" applyFont="1" applyAlignment="1"/>
    <xf numFmtId="170" fontId="59" fillId="0" borderId="18" xfId="2" applyNumberFormat="1" applyFont="1" applyBorder="1" applyAlignment="1"/>
    <xf numFmtId="170" fontId="59" fillId="0" borderId="21" xfId="2" applyNumberFormat="1" applyFont="1" applyBorder="1" applyAlignment="1"/>
    <xf numFmtId="170" fontId="64" fillId="0" borderId="0" xfId="2" applyNumberFormat="1" applyFont="1" applyBorder="1" applyAlignment="1"/>
    <xf numFmtId="170" fontId="60" fillId="0" borderId="0" xfId="2" applyNumberFormat="1" applyFont="1" applyBorder="1" applyAlignment="1"/>
    <xf numFmtId="170" fontId="60" fillId="0" borderId="24" xfId="2" applyNumberFormat="1" applyFont="1" applyBorder="1" applyAlignment="1"/>
    <xf numFmtId="170" fontId="60" fillId="0" borderId="0" xfId="2" applyNumberFormat="1" applyFont="1" applyBorder="1" applyAlignment="1">
      <alignment horizontal="right"/>
    </xf>
    <xf numFmtId="170" fontId="39" fillId="0" borderId="66" xfId="2" applyNumberFormat="1" applyFont="1" applyBorder="1" applyAlignment="1"/>
    <xf numFmtId="166" fontId="60" fillId="0" borderId="0" xfId="2" quotePrefix="1" applyNumberFormat="1" applyFont="1" applyAlignment="1">
      <alignment horizontal="left"/>
    </xf>
    <xf numFmtId="170" fontId="59" fillId="0" borderId="16" xfId="2" applyNumberFormat="1" applyFont="1" applyBorder="1" applyAlignment="1"/>
    <xf numFmtId="170" fontId="59" fillId="0" borderId="24" xfId="2" applyNumberFormat="1" applyFont="1" applyBorder="1" applyAlignment="1"/>
    <xf numFmtId="170" fontId="59" fillId="0" borderId="10" xfId="2" applyNumberFormat="1" applyFont="1" applyBorder="1" applyAlignment="1"/>
    <xf numFmtId="170" fontId="138" fillId="0" borderId="0" xfId="2" applyNumberFormat="1" applyFont="1" applyBorder="1" applyAlignment="1"/>
    <xf numFmtId="170" fontId="138" fillId="0" borderId="0" xfId="2" applyNumberFormat="1" applyFont="1" applyAlignment="1"/>
    <xf numFmtId="170" fontId="60" fillId="0" borderId="0" xfId="2" applyNumberFormat="1" applyFont="1" applyAlignment="1">
      <alignment horizontal="center"/>
    </xf>
    <xf numFmtId="170" fontId="60" fillId="0" borderId="0" xfId="2" quotePrefix="1" applyNumberFormat="1" applyFont="1" applyAlignment="1">
      <alignment horizontal="center"/>
    </xf>
    <xf numFmtId="170" fontId="64" fillId="0" borderId="18" xfId="2" applyNumberFormat="1" applyFont="1" applyBorder="1" applyAlignment="1"/>
    <xf numFmtId="170" fontId="65" fillId="0" borderId="0" xfId="2" applyNumberFormat="1" applyFont="1" applyAlignment="1"/>
    <xf numFmtId="170" fontId="65" fillId="0" borderId="18" xfId="2" applyNumberFormat="1" applyFont="1" applyBorder="1" applyAlignment="1"/>
    <xf numFmtId="170" fontId="59" fillId="0" borderId="0" xfId="2" applyNumberFormat="1" applyFont="1" applyAlignment="1">
      <alignment horizontal="right"/>
    </xf>
    <xf numFmtId="166" fontId="64" fillId="0" borderId="18" xfId="2" applyNumberFormat="1" applyFont="1" applyBorder="1" applyAlignment="1"/>
    <xf numFmtId="166" fontId="44" fillId="0" borderId="0" xfId="2" applyNumberFormat="1" applyFont="1" applyFill="1" applyAlignment="1">
      <alignment horizontal="left"/>
    </xf>
    <xf numFmtId="174" fontId="59" fillId="0" borderId="17" xfId="2" applyNumberFormat="1" applyFont="1" applyBorder="1" applyAlignment="1"/>
    <xf numFmtId="174" fontId="65" fillId="0" borderId="0" xfId="2" applyNumberFormat="1" applyFont="1" applyAlignment="1">
      <alignment horizontal="right"/>
    </xf>
    <xf numFmtId="174" fontId="65"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43" fontId="43" fillId="0" borderId="0" xfId="5" applyFont="1" applyFill="1" applyBorder="1" applyAlignment="1">
      <alignment horizontal="right"/>
    </xf>
    <xf numFmtId="39" fontId="43" fillId="0" borderId="0" xfId="4" applyNumberFormat="1" applyFont="1" applyFill="1" applyBorder="1"/>
    <xf numFmtId="39" fontId="57" fillId="0" borderId="0" xfId="4" applyNumberFormat="1" applyFont="1" applyFill="1" applyBorder="1"/>
    <xf numFmtId="7" fontId="43" fillId="0" borderId="0" xfId="4" applyNumberFormat="1" applyFont="1" applyFill="1" applyBorder="1"/>
    <xf numFmtId="0" fontId="82" fillId="0" borderId="0" xfId="8" applyFont="1" applyAlignment="1"/>
    <xf numFmtId="0" fontId="139" fillId="0" borderId="0" xfId="8" applyFont="1" applyAlignment="1"/>
    <xf numFmtId="0" fontId="114" fillId="0" borderId="0" xfId="8" applyFont="1" applyAlignment="1"/>
    <xf numFmtId="0" fontId="49" fillId="0" borderId="0" xfId="8" applyFont="1" applyAlignment="1"/>
    <xf numFmtId="0" fontId="49" fillId="0" borderId="0" xfId="8" applyFont="1" applyAlignment="1">
      <alignment horizontal="left"/>
    </xf>
    <xf numFmtId="0" fontId="49" fillId="0" borderId="0" xfId="8" applyFont="1" applyAlignment="1">
      <alignment horizontal="right" indent="15"/>
    </xf>
    <xf numFmtId="0" fontId="114"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14" fillId="0" borderId="0" xfId="8" quotePrefix="1" applyFont="1" applyAlignment="1">
      <alignment horizontal="right"/>
    </xf>
    <xf numFmtId="165" fontId="49" fillId="0" borderId="0" xfId="8" applyNumberFormat="1" applyFont="1" applyAlignment="1">
      <alignment horizontal="right"/>
    </xf>
    <xf numFmtId="0" fontId="141" fillId="0" borderId="0" xfId="8" applyFont="1"/>
    <xf numFmtId="0" fontId="114" fillId="0" borderId="0" xfId="8" applyFont="1" applyAlignment="1">
      <alignment horizontal="center"/>
    </xf>
    <xf numFmtId="188" fontId="49" fillId="0" borderId="0" xfId="8" quotePrefix="1" applyNumberFormat="1" applyFont="1"/>
    <xf numFmtId="3" fontId="49" fillId="0" borderId="0" xfId="8" quotePrefix="1" applyNumberFormat="1" applyFont="1"/>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8" fontId="49" fillId="0" borderId="0" xfId="8" applyNumberFormat="1" applyFont="1" applyAlignment="1"/>
    <xf numFmtId="3" fontId="49" fillId="0" borderId="0" xfId="8" applyNumberFormat="1" applyFont="1"/>
    <xf numFmtId="170" fontId="140" fillId="0" borderId="0" xfId="8" applyNumberFormat="1" applyFont="1"/>
    <xf numFmtId="188"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9" fillId="0" borderId="0" xfId="8" applyFont="1" applyAlignment="1">
      <alignment horizontal="center"/>
    </xf>
    <xf numFmtId="1" fontId="114"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40" fillId="0" borderId="0" xfId="8" applyFont="1" applyBorder="1"/>
    <xf numFmtId="191" fontId="49" fillId="0" borderId="0" xfId="8" applyNumberFormat="1" applyFont="1" applyBorder="1"/>
    <xf numFmtId="6" fontId="49" fillId="0" borderId="0" xfId="8" applyNumberFormat="1" applyFont="1" applyAlignment="1"/>
    <xf numFmtId="175" fontId="49" fillId="0" borderId="0" xfId="8" quotePrefix="1" applyNumberFormat="1" applyFont="1" applyAlignment="1">
      <alignment horizontal="right"/>
    </xf>
    <xf numFmtId="192" fontId="49" fillId="0" borderId="0" xfId="8" applyNumberFormat="1" applyFont="1"/>
    <xf numFmtId="175"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7" fillId="0" borderId="0" xfId="860" applyNumberFormat="1" applyFont="1" applyAlignment="1">
      <alignment horizontal="centerContinuous"/>
    </xf>
    <xf numFmtId="0" fontId="42" fillId="0" borderId="0" xfId="860" applyNumberFormat="1" applyFont="1" applyAlignment="1"/>
    <xf numFmtId="0" fontId="43" fillId="0" borderId="67" xfId="860" applyNumberFormat="1" applyFont="1" applyBorder="1" applyAlignment="1">
      <alignment horizontal="centerContinuous"/>
    </xf>
    <xf numFmtId="0" fontId="42" fillId="0" borderId="36" xfId="860" applyNumberFormat="1" applyFont="1" applyBorder="1" applyAlignment="1">
      <alignment horizontal="centerContinuous"/>
    </xf>
    <xf numFmtId="37" fontId="67" fillId="0" borderId="68"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7"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6" xfId="860" applyNumberFormat="1" applyFont="1" applyBorder="1" applyAlignment="1"/>
    <xf numFmtId="0" fontId="142"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2" fillId="0" borderId="16" xfId="860" applyNumberFormat="1" applyFont="1" applyBorder="1" applyAlignment="1"/>
    <xf numFmtId="0" fontId="40" fillId="0" borderId="0" xfId="860" applyNumberFormat="1" applyFont="1" applyAlignment="1"/>
    <xf numFmtId="0" fontId="111"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3" fillId="0" borderId="0" xfId="860" applyFont="1" applyBorder="1" applyAlignment="1">
      <alignment vertical="top" wrapText="1"/>
    </xf>
    <xf numFmtId="0" fontId="42" fillId="0" borderId="16" xfId="860" applyNumberFormat="1" applyFont="1" applyBorder="1" applyAlignment="1">
      <alignment horizontal="left"/>
    </xf>
    <xf numFmtId="0" fontId="84" fillId="0" borderId="0" xfId="860" applyNumberFormat="1" applyFont="1" applyAlignment="1"/>
    <xf numFmtId="0" fontId="142" fillId="0" borderId="0" xfId="860" applyNumberFormat="1" applyFont="1" applyBorder="1" applyAlignment="1"/>
    <xf numFmtId="0" fontId="84"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66" fontId="37" fillId="0" borderId="0" xfId="0" applyNumberFormat="1" applyFont="1" applyBorder="1" applyAlignment="1"/>
    <xf numFmtId="174" fontId="37" fillId="0" borderId="0" xfId="0" applyNumberFormat="1" applyFont="1" applyAlignment="1">
      <alignment horizontal="right"/>
    </xf>
    <xf numFmtId="170" fontId="37" fillId="0" borderId="0" xfId="0" applyNumberFormat="1" applyFont="1" applyAlignment="1"/>
    <xf numFmtId="170" fontId="37" fillId="0" borderId="0" xfId="0" applyNumberFormat="1" applyFont="1" applyBorder="1" applyAlignment="1"/>
    <xf numFmtId="170" fontId="37" fillId="0" borderId="0" xfId="0" quotePrefix="1" applyNumberFormat="1" applyFont="1" applyAlignment="1">
      <alignment horizontal="center"/>
    </xf>
    <xf numFmtId="170" fontId="37" fillId="0" borderId="0" xfId="0" applyNumberFormat="1" applyFont="1" applyAlignment="1">
      <alignment horizontal="center"/>
    </xf>
    <xf numFmtId="170" fontId="37" fillId="0" borderId="0" xfId="0" applyNumberFormat="1" applyFont="1" applyFill="1" applyBorder="1" applyAlignment="1"/>
    <xf numFmtId="170" fontId="37" fillId="0" borderId="0" xfId="0" applyNumberFormat="1" applyFont="1" applyFill="1" applyAlignment="1"/>
    <xf numFmtId="166" fontId="37" fillId="0" borderId="0" xfId="0" applyNumberFormat="1" applyFont="1" applyFill="1" applyBorder="1" applyAlignment="1"/>
    <xf numFmtId="165" fontId="37" fillId="0" borderId="0" xfId="0" applyNumberFormat="1" applyFont="1" applyBorder="1" applyAlignment="1"/>
    <xf numFmtId="166" fontId="37" fillId="0" borderId="0" xfId="0" quotePrefix="1" applyNumberFormat="1" applyFont="1" applyBorder="1" applyAlignment="1">
      <alignment horizontal="left"/>
    </xf>
    <xf numFmtId="174" fontId="37" fillId="0" borderId="0" xfId="0" applyNumberFormat="1" applyFont="1" applyAlignment="1"/>
    <xf numFmtId="170" fontId="37" fillId="0" borderId="0" xfId="0" quotePrefix="1" applyNumberFormat="1" applyFont="1" applyAlignment="1">
      <alignment horizontal="right"/>
    </xf>
    <xf numFmtId="170" fontId="37" fillId="0" borderId="0" xfId="0" applyNumberFormat="1" applyFont="1" applyBorder="1" applyAlignment="1">
      <alignment horizontal="center"/>
    </xf>
    <xf numFmtId="170" fontId="37" fillId="0" borderId="0" xfId="0" applyNumberFormat="1" applyFont="1" applyAlignment="1">
      <alignment horizontal="right"/>
    </xf>
    <xf numFmtId="170" fontId="60" fillId="0" borderId="66" xfId="2" applyNumberFormat="1" applyFont="1" applyBorder="1" applyAlignment="1">
      <alignment horizontal="center"/>
    </xf>
    <xf numFmtId="166" fontId="37" fillId="0" borderId="0" xfId="0" applyNumberFormat="1" applyFont="1" applyBorder="1" applyAlignment="1" applyProtection="1">
      <protection locked="0"/>
    </xf>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alignment horizontal="right"/>
      <protection locked="0"/>
    </xf>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protection locked="0"/>
    </xf>
    <xf numFmtId="170" fontId="37" fillId="0" borderId="0" xfId="0" applyNumberFormat="1" applyFont="1" applyBorder="1" applyAlignment="1" applyProtection="1"/>
    <xf numFmtId="170" fontId="37" fillId="0" borderId="0" xfId="0" quotePrefix="1" applyNumberFormat="1" applyFont="1" applyAlignment="1" applyProtection="1">
      <alignment horizontal="center"/>
      <protection locked="0"/>
    </xf>
    <xf numFmtId="170" fontId="37" fillId="0" borderId="0" xfId="0" quotePrefix="1" applyNumberFormat="1" applyFont="1" applyAlignment="1" applyProtection="1">
      <alignment horizontal="center"/>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Border="1" applyAlignment="1" applyProtection="1">
      <protection locked="0"/>
    </xf>
    <xf numFmtId="170" fontId="37" fillId="0" borderId="0" xfId="0" applyNumberFormat="1" applyFont="1" applyFill="1" applyAlignment="1" applyProtection="1">
      <protection locked="0"/>
    </xf>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7"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7"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7" fontId="37" fillId="0" borderId="0" xfId="740" applyNumberFormat="1" applyFont="1" applyFill="1" applyAlignment="1">
      <alignment horizontal="center"/>
    </xf>
    <xf numFmtId="170" fontId="37" fillId="0" borderId="0" xfId="2" applyNumberFormat="1" applyFont="1" applyAlignment="1"/>
    <xf numFmtId="170" fontId="83" fillId="0" borderId="0" xfId="2" applyNumberFormat="1" applyFont="1" applyAlignment="1"/>
    <xf numFmtId="166" fontId="134" fillId="0" borderId="0" xfId="0" applyNumberFormat="1" applyFont="1" applyAlignment="1" applyProtection="1">
      <protection locked="0"/>
    </xf>
    <xf numFmtId="166" fontId="131" fillId="0" borderId="0" xfId="0" applyNumberFormat="1" applyFont="1" applyBorder="1" applyAlignment="1" applyProtection="1">
      <protection locked="0"/>
    </xf>
    <xf numFmtId="166" fontId="144" fillId="0" borderId="0" xfId="0" applyNumberFormat="1" applyFont="1" applyBorder="1" applyAlignment="1" applyProtection="1">
      <protection locked="0"/>
    </xf>
    <xf numFmtId="165" fontId="144" fillId="0" borderId="0" xfId="0" applyNumberFormat="1" applyFont="1" applyBorder="1" applyAlignment="1" applyProtection="1">
      <protection locked="0"/>
    </xf>
    <xf numFmtId="165" fontId="144" fillId="0" borderId="0" xfId="0" applyNumberFormat="1" applyFont="1" applyAlignment="1" applyProtection="1">
      <protection locked="0"/>
    </xf>
    <xf numFmtId="166" fontId="145" fillId="0" borderId="0" xfId="0" applyNumberFormat="1" applyFont="1" applyAlignment="1" applyProtection="1">
      <protection locked="0"/>
    </xf>
    <xf numFmtId="165" fontId="146" fillId="0" borderId="0" xfId="0" applyNumberFormat="1" applyFont="1" applyBorder="1" applyAlignment="1" applyProtection="1">
      <protection locked="0"/>
    </xf>
    <xf numFmtId="165" fontId="131" fillId="0" borderId="0" xfId="0" applyNumberFormat="1" applyFont="1" applyBorder="1" applyAlignment="1" applyProtection="1">
      <protection locked="0"/>
    </xf>
    <xf numFmtId="165" fontId="37" fillId="0" borderId="0" xfId="0" applyNumberFormat="1" applyFont="1" applyAlignment="1" applyProtection="1">
      <protection locked="0"/>
    </xf>
    <xf numFmtId="166" fontId="37" fillId="0" borderId="0" xfId="0" applyNumberFormat="1" applyFont="1" applyBorder="1" applyAlignment="1" applyProtection="1">
      <alignment horizontal="center"/>
      <protection locked="0"/>
    </xf>
    <xf numFmtId="165" fontId="37" fillId="0" borderId="0" xfId="0" applyNumberFormat="1" applyFont="1" applyBorder="1" applyAlignment="1" applyProtection="1">
      <protection locked="0"/>
    </xf>
    <xf numFmtId="166" fontId="37" fillId="0" borderId="0" xfId="0" applyNumberFormat="1" applyFont="1" applyAlignment="1" applyProtection="1">
      <alignment horizontal="center"/>
      <protection locked="0"/>
    </xf>
    <xf numFmtId="166" fontId="37" fillId="0" borderId="0" xfId="0" applyNumberFormat="1" applyFont="1" applyAlignment="1"/>
    <xf numFmtId="166" fontId="145" fillId="0" borderId="0" xfId="0" applyNumberFormat="1" applyFont="1" applyAlignment="1"/>
    <xf numFmtId="165" fontId="144" fillId="0" borderId="0" xfId="0" applyNumberFormat="1" applyFont="1" applyAlignment="1"/>
    <xf numFmtId="166" fontId="144" fillId="0" borderId="0" xfId="0" applyNumberFormat="1" applyFont="1" applyBorder="1" applyAlignment="1"/>
    <xf numFmtId="165" fontId="144" fillId="0" borderId="0" xfId="0" applyNumberFormat="1" applyFont="1" applyBorder="1" applyAlignment="1"/>
    <xf numFmtId="165" fontId="146" fillId="0" borderId="0" xfId="0" applyNumberFormat="1" applyFont="1" applyBorder="1" applyAlignment="1"/>
    <xf numFmtId="165" fontId="131" fillId="0" borderId="0" xfId="0" applyNumberFormat="1" applyFont="1" applyBorder="1" applyAlignment="1"/>
    <xf numFmtId="164" fontId="37" fillId="0" borderId="0" xfId="0" applyFont="1"/>
    <xf numFmtId="164" fontId="37" fillId="0" borderId="0" xfId="0" applyFont="1" applyAlignment="1"/>
    <xf numFmtId="164" fontId="37" fillId="0" borderId="0" xfId="0" applyFont="1" applyAlignment="1">
      <alignment horizontal="center"/>
    </xf>
    <xf numFmtId="164" fontId="96"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4" fontId="67" fillId="0" borderId="0" xfId="0" applyFont="1"/>
    <xf numFmtId="0" fontId="147" fillId="0" borderId="0" xfId="860" applyNumberFormat="1" applyFont="1" applyAlignment="1"/>
    <xf numFmtId="37" fontId="42" fillId="35" borderId="0" xfId="860" applyNumberFormat="1" applyFont="1" applyFill="1" applyAlignment="1">
      <alignment horizontal="left"/>
    </xf>
    <xf numFmtId="0" fontId="43" fillId="35" borderId="0" xfId="860" applyNumberFormat="1" applyFont="1" applyFill="1" applyAlignment="1"/>
    <xf numFmtId="0" fontId="43" fillId="35" borderId="0" xfId="860" applyNumberFormat="1" applyFont="1" applyFill="1" applyBorder="1" applyAlignment="1"/>
    <xf numFmtId="166" fontId="149" fillId="0" borderId="10" xfId="0" applyNumberFormat="1" applyFont="1" applyBorder="1" applyAlignment="1">
      <alignment horizontal="centerContinuous"/>
    </xf>
    <xf numFmtId="174" fontId="39" fillId="0" borderId="0" xfId="0" applyNumberFormat="1" applyFont="1" applyAlignment="1" applyProtection="1"/>
    <xf numFmtId="4" fontId="43" fillId="0" borderId="0" xfId="1028" applyNumberFormat="1" applyFont="1" applyAlignment="1"/>
    <xf numFmtId="1" fontId="43" fillId="0" borderId="0" xfId="1028" applyNumberFormat="1" applyFont="1" applyAlignment="1"/>
    <xf numFmtId="0" fontId="43" fillId="0" borderId="0" xfId="1028" applyFont="1" applyAlignment="1">
      <alignment horizontal="right"/>
    </xf>
    <xf numFmtId="39" fontId="43" fillId="0" borderId="0" xfId="1028" applyNumberFormat="1" applyFont="1" applyFill="1" applyBorder="1" applyAlignment="1"/>
    <xf numFmtId="39" fontId="115" fillId="0" borderId="0" xfId="1028" applyNumberFormat="1" applyFont="1" applyFill="1" applyBorder="1" applyAlignment="1">
      <alignment horizontal="right"/>
    </xf>
    <xf numFmtId="39" fontId="115" fillId="0" borderId="0" xfId="1028" applyNumberFormat="1" applyFont="1" applyFill="1" applyBorder="1" applyAlignment="1"/>
    <xf numFmtId="39" fontId="115" fillId="0" borderId="0" xfId="1028" quotePrefix="1" applyNumberFormat="1" applyFont="1" applyFill="1" applyBorder="1" applyAlignment="1">
      <alignment horizontal="left"/>
    </xf>
    <xf numFmtId="4" fontId="67" fillId="0" borderId="0" xfId="1028" applyNumberFormat="1" applyFont="1" applyAlignment="1">
      <alignment horizontal="left" vertical="center"/>
    </xf>
    <xf numFmtId="1" fontId="44" fillId="0" borderId="50" xfId="1028" applyNumberFormat="1" applyFont="1" applyBorder="1" applyAlignment="1"/>
    <xf numFmtId="4" fontId="44" fillId="0" borderId="50" xfId="1028" applyNumberFormat="1" applyFont="1" applyBorder="1" applyAlignment="1">
      <alignment horizontal="center"/>
    </xf>
    <xf numFmtId="1" fontId="37" fillId="0" borderId="0" xfId="1028" quotePrefix="1" applyNumberFormat="1" applyFont="1" applyAlignment="1">
      <alignment horizontal="center"/>
    </xf>
    <xf numFmtId="4" fontId="37" fillId="0" borderId="0" xfId="1028" applyNumberFormat="1" applyFont="1" applyAlignment="1">
      <alignment horizontal="left"/>
    </xf>
    <xf numFmtId="4" fontId="37" fillId="0" borderId="0" xfId="1028" quotePrefix="1" applyNumberFormat="1" applyFont="1" applyFill="1" applyBorder="1" applyAlignment="1">
      <alignment horizontal="center"/>
    </xf>
    <xf numFmtId="1" fontId="37" fillId="0" borderId="0" xfId="1028" applyNumberFormat="1" applyFont="1" applyAlignment="1">
      <alignment horizontal="center"/>
    </xf>
    <xf numFmtId="4" fontId="37" fillId="0" borderId="0" xfId="1028" applyNumberFormat="1" applyFont="1" applyFill="1" applyBorder="1" applyAlignment="1"/>
    <xf numFmtId="4" fontId="44" fillId="0" borderId="0" xfId="1028" quotePrefix="1" applyNumberFormat="1" applyFont="1" applyFill="1" applyBorder="1" applyAlignment="1">
      <alignment horizontal="center"/>
    </xf>
    <xf numFmtId="4" fontId="37" fillId="0" borderId="0" xfId="1028" quotePrefix="1" applyNumberFormat="1" applyFont="1" applyAlignment="1">
      <alignment horizontal="left"/>
    </xf>
    <xf numFmtId="4" fontId="37" fillId="0" borderId="0" xfId="1028" applyNumberFormat="1" applyFont="1" applyBorder="1" applyAlignment="1"/>
    <xf numFmtId="4" fontId="37" fillId="0" borderId="0" xfId="1028" quotePrefix="1" applyNumberFormat="1" applyFont="1" applyBorder="1" applyAlignment="1">
      <alignment horizontal="left"/>
    </xf>
    <xf numFmtId="4" fontId="37" fillId="0" borderId="0" xfId="1028" applyNumberFormat="1" applyFont="1" applyBorder="1" applyAlignment="1">
      <alignment horizontal="center"/>
    </xf>
    <xf numFmtId="1" fontId="37" fillId="0" borderId="0" xfId="1028" applyNumberFormat="1" applyFont="1" applyAlignment="1"/>
    <xf numFmtId="4" fontId="37" fillId="0" borderId="0" xfId="1028" applyNumberFormat="1" applyFont="1" applyBorder="1" applyAlignment="1">
      <alignment horizontal="left"/>
    </xf>
    <xf numFmtId="4" fontId="37" fillId="0" borderId="0" xfId="1028" applyNumberFormat="1" applyFont="1" applyFill="1" applyBorder="1" applyAlignment="1">
      <alignment horizontal="left"/>
    </xf>
    <xf numFmtId="0" fontId="37" fillId="0" borderId="0" xfId="1028" applyNumberFormat="1" applyFont="1" applyBorder="1" applyAlignment="1">
      <alignment horizontal="left"/>
    </xf>
    <xf numFmtId="4" fontId="37" fillId="0" borderId="0" xfId="1028" quotePrefix="1" applyNumberFormat="1" applyFont="1" applyFill="1" applyBorder="1" applyAlignment="1">
      <alignment horizontal="left"/>
    </xf>
    <xf numFmtId="37" fontId="44" fillId="0" borderId="0" xfId="1028" quotePrefix="1" applyNumberFormat="1" applyFont="1" applyFill="1" applyBorder="1" applyAlignment="1">
      <alignment horizontal="center"/>
    </xf>
    <xf numFmtId="4" fontId="37" fillId="0" borderId="0" xfId="1028" applyNumberFormat="1" applyFont="1" applyFill="1" applyBorder="1" applyAlignment="1">
      <alignment horizontal="center"/>
    </xf>
    <xf numFmtId="1" fontId="37" fillId="0" borderId="0" xfId="1028" applyNumberFormat="1" applyFont="1" applyFill="1" applyAlignment="1">
      <alignment horizontal="center"/>
    </xf>
    <xf numFmtId="4" fontId="44" fillId="36" borderId="57" xfId="1028" applyNumberFormat="1" applyFont="1" applyFill="1" applyBorder="1" applyAlignment="1">
      <alignment horizontal="left"/>
    </xf>
    <xf numFmtId="4" fontId="44" fillId="0" borderId="0" xfId="1028" quotePrefix="1" applyNumberFormat="1" applyFont="1" applyAlignment="1">
      <alignment horizontal="left"/>
    </xf>
    <xf numFmtId="4" fontId="44" fillId="0" borderId="0" xfId="1028" applyNumberFormat="1" applyFont="1" applyAlignment="1">
      <alignment horizontal="left"/>
    </xf>
    <xf numFmtId="7" fontId="44" fillId="0" borderId="0" xfId="1028" applyNumberFormat="1" applyFont="1" applyBorder="1" applyAlignment="1" applyProtection="1">
      <alignment horizontal="right"/>
      <protection locked="0"/>
    </xf>
    <xf numFmtId="37" fontId="44" fillId="0" borderId="0" xfId="1028" quotePrefix="1" applyNumberFormat="1" applyFont="1" applyFill="1" applyBorder="1" applyAlignment="1">
      <alignment horizontal="right"/>
    </xf>
    <xf numFmtId="39" fontId="37" fillId="0" borderId="0" xfId="1028" applyNumberFormat="1" applyFont="1" applyFill="1" applyAlignment="1"/>
    <xf numFmtId="43" fontId="44" fillId="0" borderId="0" xfId="1028" applyNumberFormat="1" applyFont="1" applyBorder="1" applyAlignment="1">
      <alignment horizontal="right"/>
    </xf>
    <xf numFmtId="4" fontId="44" fillId="0" borderId="0" xfId="1028" applyNumberFormat="1" applyFont="1" applyFill="1" applyBorder="1" applyAlignment="1">
      <alignment horizontal="center"/>
    </xf>
    <xf numFmtId="1" fontId="37" fillId="0" borderId="0" xfId="1028" quotePrefix="1" applyNumberFormat="1" applyFont="1" applyFill="1" applyAlignment="1">
      <alignment horizontal="center"/>
    </xf>
    <xf numFmtId="174" fontId="37" fillId="0" borderId="0" xfId="1" applyNumberFormat="1" applyFont="1" applyAlignment="1"/>
    <xf numFmtId="170" fontId="37" fillId="0" borderId="0" xfId="1" applyNumberFormat="1" applyFont="1" applyAlignment="1">
      <alignment horizontal="right"/>
    </xf>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187" fontId="98" fillId="0" borderId="0" xfId="8" applyNumberFormat="1" applyFont="1"/>
    <xf numFmtId="170" fontId="37" fillId="0" borderId="0" xfId="8" applyNumberFormat="1" applyFont="1"/>
    <xf numFmtId="174" fontId="37" fillId="0" borderId="0" xfId="8" applyNumberFormat="1" applyFont="1"/>
    <xf numFmtId="0" fontId="98" fillId="0" borderId="0" xfId="8" applyFont="1" applyBorder="1"/>
    <xf numFmtId="0" fontId="37" fillId="0" borderId="0" xfId="8" applyFont="1" applyBorder="1"/>
    <xf numFmtId="0" fontId="37" fillId="0" borderId="0" xfId="17" quotePrefix="1" applyNumberFormat="1" applyFont="1" applyAlignment="1">
      <alignment horizontal="left"/>
    </xf>
    <xf numFmtId="164" fontId="62" fillId="0" borderId="0" xfId="0" applyFont="1"/>
    <xf numFmtId="164" fontId="44" fillId="0" borderId="0" xfId="0" applyFont="1"/>
    <xf numFmtId="0" fontId="140"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4" fontId="37" fillId="0" borderId="0" xfId="0" applyNumberFormat="1" applyFont="1" applyAlignment="1" applyProtection="1">
      <protection locked="0"/>
    </xf>
    <xf numFmtId="170" fontId="44" fillId="0" borderId="20" xfId="0" applyNumberFormat="1" applyFont="1" applyBorder="1" applyAlignment="1"/>
    <xf numFmtId="165" fontId="37" fillId="0" borderId="0" xfId="0" quotePrefix="1" applyNumberFormat="1" applyFont="1" applyAlignment="1">
      <alignment horizontal="center"/>
    </xf>
    <xf numFmtId="170" fontId="66" fillId="0" borderId="15" xfId="2" applyNumberFormat="1" applyFont="1" applyBorder="1"/>
    <xf numFmtId="170" fontId="39" fillId="0" borderId="0" xfId="2" quotePrefix="1" applyNumberFormat="1" applyFont="1" applyFill="1" applyAlignment="1">
      <alignment horizontal="right"/>
    </xf>
    <xf numFmtId="170" fontId="76" fillId="0" borderId="15" xfId="2" applyNumberFormat="1" applyFont="1" applyBorder="1"/>
    <xf numFmtId="170" fontId="65" fillId="0" borderId="0" xfId="2" applyNumberFormat="1" applyFont="1" applyBorder="1" applyAlignment="1"/>
    <xf numFmtId="170" fontId="46" fillId="0" borderId="0" xfId="2" applyNumberFormat="1" applyFont="1" applyBorder="1" applyAlignment="1">
      <alignment horizontal="right"/>
    </xf>
    <xf numFmtId="170" fontId="66" fillId="0" borderId="15" xfId="2" applyNumberFormat="1" applyFont="1" applyBorder="1" applyAlignment="1">
      <alignment horizontal="center"/>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66" fillId="0" borderId="0" xfId="2" applyNumberFormat="1" applyFont="1" applyBorder="1"/>
    <xf numFmtId="170" fontId="66" fillId="0" borderId="0" xfId="2" applyNumberFormat="1" applyFont="1"/>
    <xf numFmtId="170" fontId="39" fillId="0" borderId="0" xfId="2" applyNumberFormat="1" applyFont="1"/>
    <xf numFmtId="0" fontId="98" fillId="0" borderId="0" xfId="740" applyFont="1"/>
    <xf numFmtId="0" fontId="98" fillId="0" borderId="0" xfId="740" applyFont="1" applyBorder="1"/>
    <xf numFmtId="4" fontId="43" fillId="0" borderId="0" xfId="1028" applyNumberFormat="1" applyFont="1" applyFill="1" applyBorder="1" applyAlignment="1"/>
    <xf numFmtId="0" fontId="83" fillId="0" borderId="0" xfId="1028" applyFont="1" applyAlignment="1">
      <alignment horizontal="right"/>
    </xf>
    <xf numFmtId="4" fontId="115" fillId="0" borderId="0" xfId="1028" applyNumberFormat="1" applyFont="1" applyFill="1" applyBorder="1" applyAlignment="1">
      <alignment horizontal="right"/>
    </xf>
    <xf numFmtId="0" fontId="43" fillId="0" borderId="0" xfId="1028" applyFont="1" applyBorder="1" applyAlignment="1">
      <alignment horizontal="left"/>
    </xf>
    <xf numFmtId="164" fontId="0" fillId="0" borderId="0" xfId="0" applyBorder="1"/>
    <xf numFmtId="4" fontId="115" fillId="0" borderId="0" xfId="1028" applyNumberFormat="1" applyFont="1" applyFill="1" applyBorder="1" applyAlignment="1"/>
    <xf numFmtId="4" fontId="87" fillId="0" borderId="0" xfId="1028" applyNumberFormat="1" applyFont="1" applyFill="1" applyBorder="1" applyAlignment="1"/>
    <xf numFmtId="4" fontId="115" fillId="0" borderId="0" xfId="1028" quotePrefix="1" applyNumberFormat="1" applyFont="1" applyFill="1" applyBorder="1" applyAlignment="1">
      <alignment horizontal="left"/>
    </xf>
    <xf numFmtId="4" fontId="43" fillId="0" borderId="0" xfId="1028" applyNumberFormat="1" applyFont="1" applyBorder="1" applyAlignment="1"/>
    <xf numFmtId="4" fontId="43" fillId="0" borderId="0" xfId="1028" applyNumberFormat="1" applyFont="1" applyBorder="1" applyAlignment="1">
      <alignment horizontal="center"/>
    </xf>
    <xf numFmtId="4" fontId="42" fillId="0" borderId="0" xfId="1028" applyNumberFormat="1" applyFont="1" applyFill="1" applyAlignment="1">
      <alignment horizontal="right"/>
    </xf>
    <xf numFmtId="4" fontId="44" fillId="0" borderId="0" xfId="1028" applyNumberFormat="1" applyFont="1" applyBorder="1" applyAlignment="1">
      <alignment horizontal="center"/>
    </xf>
    <xf numFmtId="1" fontId="44" fillId="0" borderId="0" xfId="1028" applyNumberFormat="1" applyFont="1" applyFill="1" applyAlignment="1"/>
    <xf numFmtId="164" fontId="98" fillId="0" borderId="0" xfId="0" applyFont="1"/>
    <xf numFmtId="4" fontId="44" fillId="0" borderId="0" xfId="1028" applyNumberFormat="1" applyFont="1" applyBorder="1" applyAlignment="1"/>
    <xf numFmtId="164" fontId="37" fillId="0" borderId="0" xfId="0" applyFont="1" applyBorder="1"/>
    <xf numFmtId="0" fontId="98" fillId="0" borderId="0" xfId="0" applyNumberFormat="1" applyFont="1" applyAlignment="1"/>
    <xf numFmtId="1" fontId="37" fillId="0" borderId="0" xfId="1028" applyNumberFormat="1" applyFont="1" applyFill="1" applyBorder="1" applyAlignment="1">
      <alignment horizontal="center"/>
    </xf>
    <xf numFmtId="4" fontId="44" fillId="0" borderId="0" xfId="1028" applyNumberFormat="1" applyFont="1" applyFill="1" applyBorder="1" applyAlignment="1"/>
    <xf numFmtId="43" fontId="0" fillId="0" borderId="0" xfId="0" applyNumberFormat="1"/>
    <xf numFmtId="164" fontId="98" fillId="0" borderId="0" xfId="0" applyFont="1" applyBorder="1"/>
    <xf numFmtId="1" fontId="37" fillId="0" borderId="0" xfId="1028" applyNumberFormat="1" applyFont="1" applyBorder="1" applyAlignment="1">
      <alignment horizontal="center"/>
    </xf>
    <xf numFmtId="1" fontId="37" fillId="0" borderId="0" xfId="1028" applyNumberFormat="1" applyFont="1" applyFill="1" applyAlignment="1"/>
    <xf numFmtId="4" fontId="37" fillId="0" borderId="0" xfId="1028" quotePrefix="1" applyNumberFormat="1" applyFont="1" applyFill="1" applyAlignment="1">
      <alignment horizontal="center"/>
    </xf>
    <xf numFmtId="1" fontId="37" fillId="0" borderId="0" xfId="0" applyNumberFormat="1" applyFont="1" applyAlignment="1">
      <alignment horizontal="center"/>
    </xf>
    <xf numFmtId="1" fontId="37" fillId="0" borderId="0" xfId="1028" applyNumberFormat="1" applyFont="1" applyFill="1" applyBorder="1" applyAlignment="1"/>
    <xf numFmtId="4" fontId="37" fillId="33" borderId="0" xfId="1028" applyNumberFormat="1" applyFont="1" applyFill="1" applyBorder="1" applyAlignment="1">
      <alignment horizontal="centerContinuous"/>
    </xf>
    <xf numFmtId="4" fontId="37" fillId="33" borderId="0" xfId="1028" applyNumberFormat="1" applyFont="1" applyFill="1" applyBorder="1" applyAlignment="1">
      <alignment horizontal="center"/>
    </xf>
    <xf numFmtId="4" fontId="44" fillId="0" borderId="0" xfId="1028" quotePrefix="1" applyNumberFormat="1" applyFont="1" applyBorder="1" applyAlignment="1">
      <alignment horizontal="left"/>
    </xf>
    <xf numFmtId="4" fontId="44" fillId="0" borderId="0" xfId="0" applyNumberFormat="1" applyFont="1" applyAlignment="1">
      <alignment horizontal="left"/>
    </xf>
    <xf numFmtId="4" fontId="44" fillId="0" borderId="0" xfId="1028" applyNumberFormat="1" applyFont="1" applyBorder="1" applyAlignment="1">
      <alignment horizontal="left"/>
    </xf>
    <xf numFmtId="37" fontId="44" fillId="0" borderId="0" xfId="1028" applyNumberFormat="1" applyFont="1" applyFill="1" applyBorder="1" applyAlignment="1">
      <alignment horizontal="right"/>
    </xf>
    <xf numFmtId="37" fontId="44" fillId="0" borderId="0" xfId="0" applyNumberFormat="1" applyFont="1" applyAlignment="1">
      <alignment horizontal="right"/>
    </xf>
    <xf numFmtId="4" fontId="44" fillId="0" borderId="0" xfId="0" applyNumberFormat="1" applyFont="1" applyBorder="1" applyAlignment="1">
      <alignment horizontal="left"/>
    </xf>
    <xf numFmtId="39" fontId="37" fillId="0" borderId="0" xfId="1028" applyNumberFormat="1" applyFont="1" applyFill="1" applyBorder="1" applyAlignment="1"/>
    <xf numFmtId="0" fontId="137" fillId="0" borderId="0" xfId="841" applyFont="1" applyBorder="1"/>
    <xf numFmtId="170" fontId="37" fillId="0" borderId="0" xfId="2" applyNumberFormat="1" applyFont="1" applyAlignment="1">
      <alignment horizontal="right"/>
    </xf>
    <xf numFmtId="177" fontId="44" fillId="0" borderId="0" xfId="740" applyNumberFormat="1" applyFont="1" applyBorder="1" applyAlignment="1">
      <alignment horizontal="right"/>
    </xf>
    <xf numFmtId="177" fontId="101" fillId="0" borderId="0" xfId="740" applyNumberFormat="1" applyFont="1" applyFill="1"/>
    <xf numFmtId="177" fontId="101" fillId="0" borderId="0" xfId="740" applyNumberFormat="1" applyFont="1"/>
    <xf numFmtId="177" fontId="44" fillId="0" borderId="0" xfId="740" applyNumberFormat="1" applyFont="1" applyAlignment="1">
      <alignment horizontal="right"/>
    </xf>
    <xf numFmtId="177" fontId="44" fillId="33" borderId="16" xfId="740" applyNumberFormat="1" applyFont="1" applyFill="1" applyBorder="1" applyAlignment="1"/>
    <xf numFmtId="177" fontId="62" fillId="0" borderId="20" xfId="836" applyNumberFormat="1" applyFont="1" applyBorder="1" applyAlignment="1"/>
    <xf numFmtId="177" fontId="62" fillId="0" borderId="0" xfId="836" applyNumberFormat="1" applyFont="1" applyBorder="1" applyAlignment="1"/>
    <xf numFmtId="177" fontId="62" fillId="0" borderId="0" xfId="836" applyNumberFormat="1" applyFont="1" applyAlignment="1">
      <alignment horizontal="fill"/>
    </xf>
    <xf numFmtId="177" fontId="67" fillId="0" borderId="0" xfId="836" applyNumberFormat="1" applyFont="1" applyBorder="1" applyAlignment="1"/>
    <xf numFmtId="180" fontId="67" fillId="0" borderId="17" xfId="836" applyNumberFormat="1" applyFont="1" applyBorder="1" applyAlignment="1">
      <alignment horizontal="right"/>
    </xf>
    <xf numFmtId="0" fontId="114" fillId="0" borderId="0" xfId="8" quotePrefix="1" applyFont="1" applyBorder="1" applyAlignment="1">
      <alignment horizontal="right"/>
    </xf>
    <xf numFmtId="0" fontId="141" fillId="0" borderId="0" xfId="8" applyFont="1" applyBorder="1"/>
    <xf numFmtId="0" fontId="37" fillId="0" borderId="0" xfId="8" applyFont="1" applyBorder="1" applyAlignment="1"/>
    <xf numFmtId="0" fontId="114" fillId="0" borderId="0" xfId="8" applyFont="1" applyFill="1" applyBorder="1" applyAlignment="1">
      <alignment horizontal="center"/>
    </xf>
    <xf numFmtId="0" fontId="49" fillId="0" borderId="0" xfId="8" applyFont="1" applyFill="1" applyBorder="1" applyAlignment="1">
      <alignment horizontal="center"/>
    </xf>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1" fillId="0" borderId="0" xfId="2" applyNumberFormat="1" applyFont="1" applyBorder="1"/>
    <xf numFmtId="0" fontId="37" fillId="0" borderId="0" xfId="2" applyNumberFormat="1" applyFont="1" applyAlignment="1"/>
    <xf numFmtId="170" fontId="42" fillId="0" borderId="0" xfId="2" applyNumberFormat="1" applyFont="1" applyAlignment="1"/>
    <xf numFmtId="0" fontId="37" fillId="0" borderId="0" xfId="2" applyFont="1" applyBorder="1"/>
    <xf numFmtId="0" fontId="67" fillId="0" borderId="0" xfId="836" applyNumberFormat="1" applyFont="1" applyFill="1" applyAlignment="1">
      <alignment horizontal="center"/>
    </xf>
    <xf numFmtId="0" fontId="67" fillId="0" borderId="20" xfId="836" applyNumberFormat="1" applyFont="1" applyFill="1" applyBorder="1" applyAlignment="1"/>
    <xf numFmtId="181" fontId="62" fillId="0" borderId="0" xfId="836" applyNumberFormat="1" applyFont="1" applyFill="1" applyBorder="1" applyAlignment="1"/>
    <xf numFmtId="185" fontId="79" fillId="0" borderId="0" xfId="836" applyNumberFormat="1" applyFont="1" applyFill="1" applyAlignment="1"/>
    <xf numFmtId="181" fontId="62" fillId="0" borderId="0" xfId="836" applyNumberFormat="1" applyFont="1" applyFill="1" applyAlignment="1"/>
    <xf numFmtId="181" fontId="62" fillId="0" borderId="20" xfId="836" applyNumberFormat="1" applyFont="1" applyFill="1" applyBorder="1" applyAlignment="1"/>
    <xf numFmtId="181" fontId="62" fillId="0" borderId="20" xfId="836" applyNumberFormat="1" applyFont="1" applyFill="1" applyBorder="1" applyAlignment="1">
      <alignment horizontal="right"/>
    </xf>
    <xf numFmtId="181" fontId="79" fillId="0" borderId="20" xfId="836" applyNumberFormat="1" applyFont="1" applyFill="1" applyBorder="1"/>
    <xf numFmtId="177" fontId="67" fillId="0" borderId="0" xfId="836" applyNumberFormat="1" applyFont="1" applyFill="1" applyAlignment="1">
      <alignment horizontal="right"/>
    </xf>
    <xf numFmtId="177" fontId="67" fillId="0" borderId="0" xfId="836" applyNumberFormat="1" applyFont="1" applyFill="1" applyAlignment="1"/>
    <xf numFmtId="177" fontId="62" fillId="0" borderId="20" xfId="836" applyNumberFormat="1" applyFont="1" applyFill="1" applyBorder="1" applyAlignment="1"/>
    <xf numFmtId="177" fontId="67" fillId="0" borderId="0" xfId="836" applyNumberFormat="1" applyFont="1" applyFill="1" applyBorder="1" applyAlignment="1"/>
    <xf numFmtId="173" fontId="62" fillId="0" borderId="0" xfId="836" quotePrefix="1" applyNumberFormat="1" applyFont="1" applyFill="1" applyAlignment="1">
      <alignment horizontal="left"/>
    </xf>
    <xf numFmtId="177" fontId="62" fillId="0" borderId="0" xfId="836" applyNumberFormat="1" applyFont="1" applyFill="1" applyBorder="1" applyAlignment="1" applyProtection="1">
      <protection locked="0"/>
    </xf>
    <xf numFmtId="177" fontId="62" fillId="0" borderId="0" xfId="836" applyNumberFormat="1" applyFont="1" applyFill="1" applyBorder="1" applyAlignment="1">
      <alignment horizontal="center"/>
    </xf>
    <xf numFmtId="177" fontId="67" fillId="0" borderId="10" xfId="836" applyNumberFormat="1" applyFont="1" applyFill="1" applyBorder="1" applyAlignment="1"/>
    <xf numFmtId="177" fontId="67" fillId="0" borderId="33" xfId="836" applyNumberFormat="1" applyFont="1" applyFill="1" applyBorder="1" applyAlignment="1">
      <alignment horizontal="right"/>
    </xf>
    <xf numFmtId="180" fontId="62" fillId="0" borderId="0" xfId="836" applyNumberFormat="1" applyFont="1" applyFill="1" applyAlignment="1"/>
    <xf numFmtId="180" fontId="67" fillId="0" borderId="17" xfId="836" applyNumberFormat="1" applyFont="1" applyFill="1" applyBorder="1" applyAlignment="1"/>
    <xf numFmtId="180" fontId="67" fillId="0" borderId="0" xfId="836" applyNumberFormat="1" applyFont="1" applyFill="1" applyAlignment="1">
      <alignment horizontal="right"/>
    </xf>
    <xf numFmtId="180" fontId="67" fillId="0" borderId="0" xfId="836" applyNumberFormat="1" applyFont="1" applyFill="1" applyAlignment="1"/>
    <xf numFmtId="181" fontId="62" fillId="0" borderId="36" xfId="836" applyNumberFormat="1" applyFont="1" applyFill="1" applyBorder="1" applyAlignment="1"/>
    <xf numFmtId="0" fontId="154" fillId="0" borderId="0" xfId="836" quotePrefix="1" applyNumberFormat="1" applyFont="1" applyFill="1" applyAlignment="1">
      <alignment horizontal="left"/>
    </xf>
    <xf numFmtId="173" fontId="79"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0" fontId="0" fillId="0" borderId="0" xfId="0" applyNumberFormat="1"/>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174" fontId="39" fillId="0" borderId="0" xfId="0" applyNumberFormat="1" applyFont="1" applyAlignment="1" applyProtection="1">
      <protection locked="0"/>
    </xf>
    <xf numFmtId="174" fontId="39" fillId="0" borderId="13" xfId="0" applyNumberFormat="1" applyFont="1" applyBorder="1" applyAlignment="1" applyProtection="1">
      <protection locked="0"/>
    </xf>
    <xf numFmtId="174" fontId="39" fillId="0" borderId="0" xfId="0" applyNumberFormat="1" applyFont="1" applyBorder="1" applyAlignment="1" applyProtection="1">
      <protection locked="0"/>
    </xf>
    <xf numFmtId="177" fontId="37" fillId="0" borderId="0" xfId="740" applyNumberFormat="1" applyFont="1" applyFill="1" applyBorder="1" applyAlignment="1">
      <alignment horizontal="right"/>
    </xf>
    <xf numFmtId="177" fontId="37" fillId="0" borderId="0" xfId="740" applyNumberFormat="1" applyFont="1" applyAlignment="1">
      <alignment horizontal="fill"/>
    </xf>
    <xf numFmtId="177" fontId="37" fillId="0" borderId="0" xfId="740" applyNumberFormat="1" applyFont="1" applyAlignment="1"/>
    <xf numFmtId="177" fontId="37" fillId="0" borderId="0" xfId="740" applyNumberFormat="1" applyFont="1" applyBorder="1" applyAlignment="1"/>
    <xf numFmtId="177" fontId="37" fillId="0" borderId="0" xfId="740" applyNumberFormat="1" applyFont="1" applyAlignment="1">
      <alignment horizontal="right"/>
    </xf>
    <xf numFmtId="177" fontId="37" fillId="0" borderId="0" xfId="740" applyNumberFormat="1" applyFont="1" applyBorder="1" applyAlignment="1">
      <alignment horizontal="right"/>
    </xf>
    <xf numFmtId="177" fontId="37" fillId="0" borderId="0" xfId="740" applyNumberFormat="1" applyFont="1" applyFill="1" applyAlignment="1"/>
    <xf numFmtId="177" fontId="98" fillId="0" borderId="0" xfId="740" applyNumberFormat="1" applyFont="1"/>
    <xf numFmtId="177" fontId="37" fillId="0" borderId="0" xfId="740" quotePrefix="1" applyNumberFormat="1" applyFont="1" applyAlignment="1">
      <alignment horizontal="left"/>
    </xf>
    <xf numFmtId="177" fontId="37" fillId="0" borderId="0" xfId="740" quotePrefix="1" applyNumberFormat="1" applyFont="1" applyFill="1" applyAlignment="1">
      <alignment horizontal="left"/>
    </xf>
    <xf numFmtId="177" fontId="37" fillId="0" borderId="0" xfId="740" applyNumberFormat="1" applyFont="1" applyFill="1" applyBorder="1" applyAlignment="1"/>
    <xf numFmtId="177" fontId="37" fillId="0" borderId="0" xfId="740" applyNumberFormat="1" applyFont="1" applyFill="1" applyBorder="1" applyAlignment="1">
      <alignment horizontal="center"/>
    </xf>
    <xf numFmtId="173" fontId="37" fillId="0" borderId="0" xfId="740" applyNumberFormat="1" applyFont="1" applyAlignment="1"/>
    <xf numFmtId="182" fontId="98" fillId="0" borderId="0" xfId="740" applyNumberFormat="1" applyFont="1"/>
    <xf numFmtId="43" fontId="37" fillId="0" borderId="0" xfId="741" applyFont="1" applyAlignment="1"/>
    <xf numFmtId="181" fontId="37" fillId="0" borderId="0" xfId="740" applyNumberFormat="1" applyFont="1" applyAlignment="1">
      <alignment horizontal="right"/>
    </xf>
    <xf numFmtId="177" fontId="98" fillId="0" borderId="0" xfId="740" applyNumberFormat="1" applyFont="1" applyFill="1"/>
    <xf numFmtId="0" fontId="98" fillId="0" borderId="0" xfId="740" applyFont="1" applyFill="1"/>
    <xf numFmtId="181" fontId="37" fillId="0" borderId="0" xfId="740" applyNumberFormat="1" applyFont="1" applyFill="1" applyBorder="1" applyAlignment="1"/>
    <xf numFmtId="181" fontId="37" fillId="0" borderId="0" xfId="740" applyNumberFormat="1" applyFont="1" applyFill="1" applyAlignment="1"/>
    <xf numFmtId="0" fontId="37" fillId="0" borderId="0" xfId="740" quotePrefix="1" applyNumberFormat="1" applyFont="1" applyFill="1" applyAlignment="1">
      <alignment horizontal="left"/>
    </xf>
    <xf numFmtId="182" fontId="37" fillId="0" borderId="0" xfId="741" applyNumberFormat="1" applyFont="1" applyFill="1" applyBorder="1" applyAlignment="1"/>
    <xf numFmtId="0" fontId="44" fillId="0" borderId="10" xfId="2" applyNumberFormat="1" applyFont="1" applyBorder="1" applyAlignment="1">
      <alignment horizontal="center"/>
    </xf>
    <xf numFmtId="0" fontId="44" fillId="0" borderId="10" xfId="4" quotePrefix="1" applyFont="1" applyFill="1" applyBorder="1" applyAlignment="1">
      <alignment horizontal="center"/>
    </xf>
    <xf numFmtId="0" fontId="44" fillId="0" borderId="10" xfId="4" applyFont="1" applyFill="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0" fontId="44" fillId="0" borderId="10" xfId="2" quotePrefix="1" applyNumberFormat="1" applyFont="1" applyFill="1" applyBorder="1" applyAlignment="1">
      <alignment horizontal="center"/>
    </xf>
    <xf numFmtId="166" fontId="59" fillId="0" borderId="0" xfId="2" quotePrefix="1" applyNumberFormat="1" applyFont="1" applyAlignment="1">
      <alignment horizontal="center"/>
    </xf>
    <xf numFmtId="166" fontId="59" fillId="0" borderId="0" xfId="2" applyNumberFormat="1" applyFont="1" applyBorder="1" applyAlignment="1"/>
    <xf numFmtId="166" fontId="59" fillId="0" borderId="0" xfId="2" applyNumberFormat="1" applyFont="1" applyAlignment="1">
      <alignment horizontal="center"/>
    </xf>
    <xf numFmtId="171" fontId="59" fillId="0" borderId="0" xfId="2" quotePrefix="1" applyNumberFormat="1" applyFont="1" applyAlignment="1">
      <alignment horizontal="center"/>
    </xf>
    <xf numFmtId="166" fontId="59" fillId="0" borderId="10" xfId="2" applyNumberFormat="1" applyFont="1" applyBorder="1" applyAlignment="1">
      <alignment horizontal="center"/>
    </xf>
    <xf numFmtId="0" fontId="44" fillId="0" borderId="0" xfId="2" quotePrefix="1" applyNumberFormat="1" applyFont="1" applyAlignment="1">
      <alignment horizontal="center"/>
    </xf>
    <xf numFmtId="165" fontId="44" fillId="0" borderId="0" xfId="2" quotePrefix="1" applyNumberFormat="1" applyFont="1" applyAlignment="1">
      <alignment horizontal="center"/>
    </xf>
    <xf numFmtId="165" fontId="76" fillId="0" borderId="0" xfId="2" applyNumberFormat="1" applyFont="1"/>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3" fontId="44" fillId="0" borderId="0" xfId="2" applyNumberFormat="1" applyFont="1" applyAlignment="1">
      <alignment horizontal="center"/>
    </xf>
    <xf numFmtId="165" fontId="44" fillId="0" borderId="0" xfId="2" applyNumberFormat="1" applyFont="1" applyAlignment="1">
      <alignment horizontal="center"/>
    </xf>
    <xf numFmtId="1" fontId="44" fillId="0" borderId="10" xfId="2" quotePrefix="1" applyNumberFormat="1" applyFont="1" applyBorder="1" applyAlignment="1">
      <alignment horizontal="center"/>
    </xf>
    <xf numFmtId="1" fontId="44" fillId="0" borderId="0" xfId="2" quotePrefix="1" applyNumberFormat="1" applyFont="1" applyBorder="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0" fontId="44" fillId="0" borderId="0" xfId="4" applyNumberFormat="1" applyFont="1" applyFill="1" applyAlignment="1">
      <alignment horizontal="center"/>
    </xf>
    <xf numFmtId="166" fontId="44" fillId="0" borderId="0" xfId="4" applyNumberFormat="1" applyFont="1" applyFill="1"/>
    <xf numFmtId="0" fontId="44" fillId="0" borderId="0" xfId="4" applyFont="1" applyFill="1" applyBorder="1"/>
    <xf numFmtId="166" fontId="44" fillId="0" borderId="0" xfId="4" applyNumberFormat="1" applyFont="1" applyBorder="1" applyAlignment="1">
      <alignment horizontal="center"/>
    </xf>
    <xf numFmtId="165" fontId="44" fillId="0" borderId="0" xfId="4" applyNumberFormat="1" applyFont="1" applyBorder="1" applyAlignment="1"/>
    <xf numFmtId="165" fontId="44" fillId="0" borderId="0" xfId="4" applyNumberFormat="1" applyFont="1" applyBorder="1" applyAlignment="1">
      <alignment horizontal="center"/>
    </xf>
    <xf numFmtId="166" fontId="44" fillId="0" borderId="10" xfId="4" applyNumberFormat="1" applyFont="1" applyFill="1" applyBorder="1" applyAlignment="1">
      <alignment horizontal="center"/>
    </xf>
    <xf numFmtId="0" fontId="44" fillId="0" borderId="10" xfId="4" applyNumberFormat="1" applyFont="1" applyFill="1" applyBorder="1" applyAlignment="1">
      <alignment horizontal="center"/>
    </xf>
    <xf numFmtId="0" fontId="44" fillId="0" borderId="0" xfId="4" applyNumberFormat="1" applyFont="1" applyFill="1" applyBorder="1" applyAlignment="1">
      <alignment horizontal="center"/>
    </xf>
    <xf numFmtId="166" fontId="44" fillId="0" borderId="10" xfId="4" applyNumberFormat="1" applyFont="1" applyBorder="1" applyAlignment="1">
      <alignment horizontal="center"/>
    </xf>
    <xf numFmtId="165" fontId="44" fillId="0" borderId="0" xfId="4" applyNumberFormat="1" applyFont="1" applyAlignment="1"/>
    <xf numFmtId="165" fontId="158" fillId="0" borderId="0" xfId="2" applyNumberFormat="1" applyFont="1" applyAlignment="1"/>
    <xf numFmtId="165" fontId="159" fillId="0" borderId="0" xfId="2" applyNumberFormat="1" applyFont="1" applyAlignment="1"/>
    <xf numFmtId="165" fontId="160" fillId="0" borderId="0" xfId="2" applyNumberFormat="1" applyFont="1" applyAlignment="1">
      <alignment horizontal="centerContinuous"/>
    </xf>
    <xf numFmtId="165" fontId="162" fillId="0" borderId="0" xfId="2" applyNumberFormat="1" applyFont="1" applyAlignment="1"/>
    <xf numFmtId="165" fontId="162"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1" fillId="0" borderId="0" xfId="2" applyFont="1"/>
    <xf numFmtId="166" fontId="81" fillId="0" borderId="0" xfId="2" applyNumberFormat="1" applyFont="1" applyAlignment="1"/>
    <xf numFmtId="166" fontId="80" fillId="0" borderId="0" xfId="2" applyNumberFormat="1" applyFont="1" applyAlignment="1">
      <alignment horizontal="center"/>
    </xf>
    <xf numFmtId="164" fontId="44" fillId="0" borderId="0" xfId="0" applyFont="1" applyAlignment="1">
      <alignment horizontal="center"/>
    </xf>
    <xf numFmtId="0" fontId="67" fillId="0" borderId="0" xfId="0" applyNumberFormat="1" applyFont="1" applyAlignment="1">
      <alignment horizontal="center"/>
    </xf>
    <xf numFmtId="164" fontId="67" fillId="0" borderId="0" xfId="0" applyFont="1" applyAlignment="1">
      <alignment horizontal="center"/>
    </xf>
    <xf numFmtId="0" fontId="67" fillId="0" borderId="0" xfId="2" quotePrefix="1" applyNumberFormat="1" applyFont="1" applyAlignment="1">
      <alignment horizontal="center"/>
    </xf>
    <xf numFmtId="0" fontId="67" fillId="0" borderId="0" xfId="2" applyNumberFormat="1" applyFont="1" applyBorder="1" applyAlignment="1"/>
    <xf numFmtId="0" fontId="67" fillId="0" borderId="0" xfId="2" applyNumberFormat="1" applyFont="1" applyAlignment="1">
      <alignment horizontal="center"/>
    </xf>
    <xf numFmtId="179" fontId="44" fillId="0" borderId="0" xfId="740" quotePrefix="1" applyNumberFormat="1" applyFont="1" applyBorder="1" applyAlignment="1">
      <alignment horizontal="center"/>
    </xf>
    <xf numFmtId="0" fontId="43" fillId="0" borderId="0" xfId="860" applyNumberFormat="1" applyFont="1" applyAlignment="1">
      <alignment horizontal="right"/>
    </xf>
    <xf numFmtId="177" fontId="42" fillId="0" borderId="0" xfId="740" applyNumberFormat="1" applyFont="1" applyFill="1" applyAlignment="1"/>
    <xf numFmtId="39" fontId="43" fillId="0" borderId="0" xfId="0" applyNumberFormat="1" applyFont="1" applyFill="1" applyAlignment="1">
      <alignment horizontal="right"/>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43" fontId="0" fillId="0" borderId="0" xfId="0" applyNumberFormat="1" applyAlignment="1">
      <alignment horizontal="right"/>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0" fontId="37" fillId="0" borderId="0" xfId="4" applyFont="1" applyFill="1"/>
    <xf numFmtId="170" fontId="42" fillId="0" borderId="0" xfId="2" applyNumberFormat="1" applyFont="1" applyBorder="1" applyAlignment="1"/>
    <xf numFmtId="180" fontId="37" fillId="0" borderId="0" xfId="740" applyNumberFormat="1" applyFont="1" applyFill="1" applyAlignment="1">
      <alignment horizontal="center"/>
    </xf>
    <xf numFmtId="43" fontId="37" fillId="0" borderId="0" xfId="0" applyNumberFormat="1" applyFont="1" applyFill="1" applyBorder="1" applyAlignment="1" applyProtection="1"/>
    <xf numFmtId="42" fontId="37" fillId="0" borderId="0" xfId="0" applyNumberFormat="1" applyFont="1" applyBorder="1" applyAlignment="1"/>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0" xfId="0" applyNumberFormat="1" applyFont="1" applyBorder="1" applyAlignment="1" applyProtection="1">
      <alignment horizontal="right"/>
      <protection locked="0"/>
    </xf>
    <xf numFmtId="174" fontId="44" fillId="0" borderId="48" xfId="2" applyNumberFormat="1" applyFont="1" applyFill="1" applyBorder="1" applyAlignment="1">
      <alignment horizontal="right"/>
    </xf>
    <xf numFmtId="174" fontId="44" fillId="0" borderId="72" xfId="2" applyNumberFormat="1" applyFont="1" applyFill="1" applyBorder="1" applyAlignment="1"/>
    <xf numFmtId="170" fontId="39" fillId="0" borderId="28" xfId="2" applyNumberFormat="1" applyFont="1" applyBorder="1" applyAlignment="1"/>
    <xf numFmtId="170" fontId="48" fillId="0" borderId="0" xfId="2" applyNumberFormat="1" applyFont="1" applyBorder="1" applyAlignment="1"/>
    <xf numFmtId="170" fontId="48" fillId="0" borderId="21" xfId="2" applyNumberFormat="1" applyFont="1" applyBorder="1" applyAlignment="1"/>
    <xf numFmtId="170" fontId="39" fillId="0" borderId="71" xfId="2" applyNumberFormat="1" applyFont="1" applyBorder="1" applyAlignment="1"/>
    <xf numFmtId="0" fontId="67"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0" fontId="163" fillId="0" borderId="0" xfId="11" applyNumberFormat="1" applyFont="1" applyAlignment="1">
      <alignment horizontal="right"/>
    </xf>
    <xf numFmtId="177" fontId="67" fillId="0" borderId="0" xfId="740" applyNumberFormat="1" applyFont="1" applyAlignment="1"/>
    <xf numFmtId="177" fontId="67" fillId="0" borderId="0" xfId="740" quotePrefix="1" applyNumberFormat="1" applyFont="1" applyAlignment="1">
      <alignment horizontal="left"/>
    </xf>
    <xf numFmtId="177" fontId="67" fillId="0" borderId="0" xfId="740" quotePrefix="1" applyNumberFormat="1" applyFont="1" applyAlignment="1">
      <alignment horizontal="right"/>
    </xf>
    <xf numFmtId="0" fontId="37" fillId="0" borderId="0" xfId="17" applyNumberFormat="1" applyFont="1" applyAlignment="1"/>
    <xf numFmtId="4" fontId="44" fillId="0" borderId="50" xfId="1028" applyNumberFormat="1" applyFont="1" applyBorder="1" applyAlignment="1"/>
    <xf numFmtId="186" fontId="44" fillId="0" borderId="50" xfId="0" applyNumberFormat="1" applyFont="1" applyBorder="1" applyAlignment="1" applyProtection="1">
      <alignment horizontal="center"/>
      <protection locked="0"/>
    </xf>
    <xf numFmtId="39" fontId="44" fillId="0" borderId="50" xfId="0" applyNumberFormat="1" applyFont="1" applyBorder="1" applyAlignment="1">
      <alignment horizontal="center"/>
    </xf>
    <xf numFmtId="4" fontId="0" fillId="0" borderId="0" xfId="0" applyNumberFormat="1" applyAlignment="1" applyProtection="1">
      <alignment horizontal="right"/>
      <protection locked="0"/>
    </xf>
    <xf numFmtId="39" fontId="44" fillId="0" borderId="0" xfId="0" applyNumberFormat="1" applyFont="1" applyAlignment="1">
      <alignment horizontal="center"/>
    </xf>
    <xf numFmtId="0" fontId="102" fillId="0" borderId="0" xfId="0" applyNumberFormat="1" applyFont="1" applyBorder="1"/>
    <xf numFmtId="164" fontId="44" fillId="0" borderId="0" xfId="0" applyFont="1" applyAlignment="1" applyProtection="1">
      <alignment horizontal="right"/>
      <protection locked="0"/>
    </xf>
    <xf numFmtId="164" fontId="0" fillId="0" borderId="0" xfId="0" applyProtection="1">
      <protection locked="0"/>
    </xf>
    <xf numFmtId="164" fontId="44" fillId="0" borderId="0" xfId="0" applyFont="1" applyAlignment="1">
      <alignment horizontal="right"/>
    </xf>
    <xf numFmtId="43" fontId="0" fillId="0" borderId="0" xfId="0" applyNumberFormat="1" applyAlignment="1" applyProtection="1">
      <alignment horizontal="right"/>
      <protection locked="0"/>
    </xf>
    <xf numFmtId="4" fontId="37" fillId="0" borderId="0" xfId="0" applyNumberFormat="1" applyFont="1" applyAlignment="1">
      <alignment horizontal="center"/>
    </xf>
    <xf numFmtId="1" fontId="37" fillId="0" borderId="0" xfId="1028" quotePrefix="1" applyNumberFormat="1" applyFont="1" applyAlignment="1"/>
    <xf numFmtId="4" fontId="44" fillId="0" borderId="0" xfId="0" applyNumberFormat="1" applyFont="1"/>
    <xf numFmtId="0" fontId="98" fillId="0" borderId="0" xfId="0" applyNumberFormat="1" applyFont="1"/>
    <xf numFmtId="0" fontId="98" fillId="0" borderId="0" xfId="1028" quotePrefix="1" applyNumberFormat="1" applyFont="1" applyFill="1" applyBorder="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0" applyNumberFormat="1" applyFont="1" applyAlignment="1">
      <alignment horizontal="center"/>
    </xf>
    <xf numFmtId="43" fontId="44" fillId="0" borderId="0" xfId="0" applyNumberFormat="1" applyFont="1" applyAlignment="1">
      <alignment horizontal="right"/>
    </xf>
    <xf numFmtId="43" fontId="37" fillId="0" borderId="0" xfId="0" applyNumberFormat="1" applyFont="1" applyAlignment="1" applyProtection="1">
      <alignment horizontal="right"/>
      <protection locked="0"/>
    </xf>
    <xf numFmtId="4" fontId="37" fillId="0" borderId="0" xfId="0" applyNumberFormat="1" applyFont="1"/>
    <xf numFmtId="0" fontId="117" fillId="0" borderId="0" xfId="1028" quotePrefix="1" applyNumberFormat="1" applyFont="1" applyBorder="1" applyAlignment="1">
      <alignment horizontal="left"/>
    </xf>
    <xf numFmtId="0" fontId="98" fillId="0" borderId="0" xfId="1028" quotePrefix="1" applyNumberFormat="1" applyFont="1" applyAlignment="1"/>
    <xf numFmtId="4" fontId="37" fillId="0" borderId="0" xfId="1028" quotePrefix="1" applyNumberFormat="1" applyFont="1" applyBorder="1" applyAlignment="1">
      <alignment horizontal="right"/>
    </xf>
    <xf numFmtId="4" fontId="37" fillId="0" borderId="0" xfId="1028" quotePrefix="1" applyNumberFormat="1" applyFont="1" applyAlignment="1">
      <alignment horizontal="center"/>
    </xf>
    <xf numFmtId="4" fontId="37" fillId="0" borderId="0" xfId="1028" applyNumberFormat="1" applyFont="1" applyBorder="1" applyAlignment="1">
      <alignment horizontal="centerContinuous"/>
    </xf>
    <xf numFmtId="37" fontId="44" fillId="0" borderId="0" xfId="1028" applyNumberFormat="1" applyFont="1" applyBorder="1" applyAlignment="1">
      <alignment horizontal="center"/>
    </xf>
    <xf numFmtId="4" fontId="37" fillId="0" borderId="0" xfId="0" applyNumberFormat="1" applyFont="1" applyAlignment="1">
      <alignment horizontal="left"/>
    </xf>
    <xf numFmtId="1" fontId="37" fillId="0" borderId="0" xfId="1028" quotePrefix="1" applyNumberFormat="1" applyFont="1" applyFill="1" applyBorder="1" applyAlignment="1">
      <alignment horizontal="center"/>
    </xf>
    <xf numFmtId="43" fontId="44" fillId="0" borderId="0" xfId="0" applyNumberFormat="1" applyFont="1" applyAlignment="1" applyProtection="1">
      <alignment horizontal="right"/>
      <protection locked="0"/>
    </xf>
    <xf numFmtId="4" fontId="37" fillId="0" borderId="0" xfId="1028" applyNumberFormat="1" applyFont="1" applyFill="1" applyBorder="1" applyAlignment="1">
      <alignment horizontal="right"/>
    </xf>
    <xf numFmtId="43" fontId="37" fillId="0" borderId="0" xfId="0" applyNumberFormat="1" applyFont="1" applyAlignment="1">
      <alignment horizontal="right"/>
    </xf>
    <xf numFmtId="4" fontId="37" fillId="0" borderId="0" xfId="1028" quotePrefix="1" applyNumberFormat="1" applyFont="1" applyFill="1" applyAlignment="1">
      <alignment horizontal="left"/>
    </xf>
    <xf numFmtId="1" fontId="44" fillId="0" borderId="0" xfId="1028" quotePrefix="1" applyNumberFormat="1" applyFont="1" applyAlignment="1"/>
    <xf numFmtId="0" fontId="98" fillId="0" borderId="0" xfId="1028" applyNumberFormat="1" applyFont="1" applyBorder="1" applyAlignment="1"/>
    <xf numFmtId="0" fontId="44" fillId="0" borderId="0" xfId="1028" applyNumberFormat="1" applyFont="1" applyBorder="1" applyAlignment="1">
      <alignment horizontal="center"/>
    </xf>
    <xf numFmtId="0" fontId="102" fillId="0" borderId="0" xfId="0" applyNumberFormat="1" applyFont="1" applyAlignment="1"/>
    <xf numFmtId="0" fontId="116" fillId="0" borderId="0" xfId="1028" quotePrefix="1" applyNumberFormat="1" applyFont="1" applyAlignment="1"/>
    <xf numFmtId="7" fontId="44" fillId="0" borderId="0" xfId="0" applyNumberFormat="1" applyFont="1" applyAlignment="1" applyProtection="1">
      <alignment horizontal="right"/>
      <protection locked="0"/>
    </xf>
    <xf numFmtId="37" fontId="44" fillId="0" borderId="0" xfId="1028" applyNumberFormat="1" applyFont="1" applyAlignment="1">
      <alignment horizontal="right"/>
    </xf>
    <xf numFmtId="4" fontId="44" fillId="0" borderId="0" xfId="1028" applyNumberFormat="1" applyFont="1" applyBorder="1" applyAlignment="1" applyProtection="1">
      <alignment horizontal="left"/>
    </xf>
    <xf numFmtId="164" fontId="98" fillId="0" borderId="0" xfId="1028" applyNumberFormat="1" applyFont="1" applyBorder="1" applyAlignment="1" applyProtection="1"/>
    <xf numFmtId="37" fontId="44" fillId="0" borderId="0" xfId="0" applyNumberFormat="1" applyFont="1" applyBorder="1" applyAlignment="1">
      <alignment horizontal="right" vertical="top"/>
    </xf>
    <xf numFmtId="4" fontId="44" fillId="0" borderId="0" xfId="0" applyNumberFormat="1" applyFont="1" applyAlignment="1">
      <alignment horizontal="left" vertical="top"/>
    </xf>
    <xf numFmtId="4" fontId="44" fillId="0" borderId="0" xfId="0" applyNumberFormat="1" applyFont="1" applyBorder="1" applyAlignment="1">
      <alignment horizontal="left" vertical="top"/>
    </xf>
    <xf numFmtId="164" fontId="98" fillId="0" borderId="0" xfId="0" applyNumberFormat="1" applyFont="1"/>
    <xf numFmtId="164" fontId="98" fillId="0" borderId="0" xfId="0" applyNumberFormat="1" applyFont="1" applyBorder="1"/>
    <xf numFmtId="4" fontId="44" fillId="0" borderId="0" xfId="1028" applyNumberFormat="1" applyFont="1" applyFill="1" applyBorder="1" applyAlignment="1">
      <alignment horizontal="left"/>
    </xf>
    <xf numFmtId="164" fontId="37" fillId="0" borderId="0" xfId="0" applyNumberFormat="1" applyFont="1" applyAlignment="1"/>
    <xf numFmtId="164" fontId="37" fillId="0" borderId="0" xfId="0" applyNumberFormat="1" applyFont="1" applyBorder="1" applyAlignment="1"/>
    <xf numFmtId="4" fontId="102" fillId="0" borderId="0" xfId="0" applyNumberFormat="1" applyFont="1" applyBorder="1" applyAlignment="1" applyProtection="1">
      <alignment horizontal="left"/>
    </xf>
    <xf numFmtId="37" fontId="102" fillId="0" borderId="0" xfId="0" applyNumberFormat="1" applyFont="1" applyBorder="1" applyAlignment="1" applyProtection="1">
      <alignment horizontal="right"/>
    </xf>
    <xf numFmtId="164" fontId="98" fillId="0" borderId="0" xfId="0" applyNumberFormat="1" applyFont="1" applyBorder="1" applyAlignment="1" applyProtection="1"/>
    <xf numFmtId="37" fontId="102" fillId="0" borderId="0" xfId="0" applyNumberFormat="1" applyFont="1" applyAlignment="1">
      <alignment horizontal="right" vertical="top"/>
    </xf>
    <xf numFmtId="37" fontId="44" fillId="0" borderId="0" xfId="841" applyNumberFormat="1" applyFont="1" applyAlignment="1">
      <alignment horizontal="right"/>
    </xf>
    <xf numFmtId="43" fontId="44" fillId="0" borderId="0" xfId="0" applyNumberFormat="1" applyFont="1" applyBorder="1" applyAlignment="1">
      <alignment horizontal="right"/>
    </xf>
    <xf numFmtId="166" fontId="37" fillId="0" borderId="0" xfId="2" applyNumberFormat="1" applyFont="1" applyAlignment="1"/>
    <xf numFmtId="165" fontId="68" fillId="0" borderId="0" xfId="840" applyNumberFormat="1" applyFont="1" applyAlignment="1">
      <alignment horizontal="left"/>
    </xf>
    <xf numFmtId="0" fontId="68"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3" fontId="39" fillId="0" borderId="0" xfId="2" applyNumberFormat="1" applyFont="1" applyAlignment="1">
      <alignment horizontal="left"/>
    </xf>
    <xf numFmtId="3" fontId="39" fillId="0" borderId="0" xfId="0" applyNumberFormat="1" applyFont="1" applyAlignment="1" applyProtection="1">
      <protection locked="0"/>
    </xf>
    <xf numFmtId="3" fontId="39" fillId="0" borderId="0" xfId="0" applyNumberFormat="1" applyFont="1" applyAlignment="1" applyProtection="1">
      <alignment horizontal="left"/>
      <protection locked="0"/>
    </xf>
    <xf numFmtId="3" fontId="39" fillId="0" borderId="0" xfId="0" applyNumberFormat="1" applyFont="1" applyAlignment="1"/>
    <xf numFmtId="3" fontId="37" fillId="0" borderId="0" xfId="0" applyNumberFormat="1" applyFont="1" applyAlignment="1">
      <alignment horizontal="left"/>
    </xf>
    <xf numFmtId="166" fontId="44" fillId="0" borderId="0" xfId="0" applyNumberFormat="1" applyFont="1" applyAlignment="1" applyProtection="1">
      <alignment horizontal="left"/>
      <protection locked="0"/>
    </xf>
    <xf numFmtId="166" fontId="44" fillId="0" borderId="0" xfId="0" applyNumberFormat="1" applyFont="1" applyFill="1" applyAlignment="1" applyProtection="1">
      <alignment horizontal="left"/>
      <protection locked="0"/>
    </xf>
    <xf numFmtId="0" fontId="67" fillId="0" borderId="0" xfId="2" applyNumberFormat="1" applyFont="1" applyFill="1" applyAlignment="1" applyProtection="1">
      <alignment horizontal="left"/>
      <protection locked="0"/>
    </xf>
    <xf numFmtId="37" fontId="67" fillId="0" borderId="0" xfId="2" applyNumberFormat="1" applyFont="1" applyFill="1" applyAlignment="1">
      <alignment horizontal="center"/>
    </xf>
    <xf numFmtId="37" fontId="67"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836" applyNumberFormat="1" applyFont="1" applyAlignment="1" applyProtection="1">
      <protection locked="0"/>
    </xf>
    <xf numFmtId="165" fontId="37" fillId="0" borderId="0" xfId="740"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6" xfId="2" applyNumberFormat="1" applyFont="1" applyBorder="1" applyAlignment="1"/>
    <xf numFmtId="0" fontId="52" fillId="0" borderId="0" xfId="2" applyNumberFormat="1" applyFont="1" applyAlignment="1">
      <alignment horizontal="right"/>
    </xf>
    <xf numFmtId="0" fontId="52" fillId="0" borderId="0" xfId="2" applyNumberFormat="1" applyFont="1" applyAlignment="1"/>
    <xf numFmtId="0" fontId="52" fillId="0" borderId="0" xfId="2" applyNumberFormat="1" applyFont="1" applyAlignment="1">
      <alignment horizontal="left"/>
    </xf>
    <xf numFmtId="0" fontId="52" fillId="0" borderId="0" xfId="2" quotePrefix="1" applyNumberFormat="1" applyFont="1" applyAlignment="1">
      <alignment horizontal="left"/>
    </xf>
    <xf numFmtId="0" fontId="62" fillId="0" borderId="0" xfId="2" applyNumberFormat="1" applyFont="1" applyBorder="1" applyAlignment="1"/>
    <xf numFmtId="0" fontId="67" fillId="0" borderId="0" xfId="2" quotePrefix="1" applyNumberFormat="1" applyFont="1" applyBorder="1" applyAlignment="1" applyProtection="1">
      <alignment horizontal="right"/>
      <protection locked="0"/>
    </xf>
    <xf numFmtId="0" fontId="154" fillId="0" borderId="0" xfId="2" applyNumberFormat="1" applyFont="1" applyAlignment="1"/>
    <xf numFmtId="0" fontId="67" fillId="0" borderId="10" xfId="2" applyNumberFormat="1" applyFont="1" applyBorder="1" applyAlignment="1">
      <alignment horizontal="center"/>
    </xf>
    <xf numFmtId="0" fontId="67" fillId="0" borderId="10" xfId="2" quotePrefix="1" applyNumberFormat="1" applyFont="1" applyBorder="1" applyAlignment="1">
      <alignment horizontal="center"/>
    </xf>
    <xf numFmtId="0" fontId="67" fillId="0" borderId="0" xfId="2" applyNumberFormat="1" applyFont="1" applyBorder="1" applyAlignment="1">
      <alignment horizontal="center"/>
    </xf>
    <xf numFmtId="174" fontId="67" fillId="0" borderId="24" xfId="2" applyNumberFormat="1" applyFont="1" applyBorder="1" applyAlignment="1" applyProtection="1">
      <protection locked="0"/>
    </xf>
    <xf numFmtId="174" fontId="67" fillId="0" borderId="21" xfId="2" applyNumberFormat="1" applyFont="1" applyBorder="1" applyAlignment="1" applyProtection="1">
      <protection locked="0"/>
    </xf>
    <xf numFmtId="174" fontId="62" fillId="0" borderId="0" xfId="2" applyNumberFormat="1" applyFont="1" applyAlignment="1"/>
    <xf numFmtId="174" fontId="62" fillId="0" borderId="0" xfId="2" applyNumberFormat="1" applyFont="1" applyAlignment="1" applyProtection="1">
      <protection locked="0"/>
    </xf>
    <xf numFmtId="0" fontId="62" fillId="0" borderId="24" xfId="2" applyFont="1" applyBorder="1" applyAlignment="1" applyProtection="1">
      <protection locked="0"/>
    </xf>
    <xf numFmtId="0" fontId="62" fillId="0" borderId="21" xfId="2" applyFont="1" applyBorder="1" applyAlignment="1" applyProtection="1">
      <protection locked="0"/>
    </xf>
    <xf numFmtId="0" fontId="62" fillId="0" borderId="0" xfId="2" applyFont="1" applyAlignment="1" applyProtection="1">
      <protection locked="0"/>
    </xf>
    <xf numFmtId="0" fontId="62" fillId="0" borderId="0" xfId="2" quotePrefix="1" applyNumberFormat="1" applyFont="1" applyAlignment="1">
      <alignment horizontal="left"/>
    </xf>
    <xf numFmtId="170" fontId="62" fillId="0" borderId="0" xfId="2" applyNumberFormat="1" applyFont="1" applyBorder="1" applyAlignment="1" applyProtection="1">
      <protection locked="0"/>
    </xf>
    <xf numFmtId="170" fontId="62" fillId="0" borderId="0" xfId="2" applyNumberFormat="1" applyFont="1" applyAlignment="1" applyProtection="1">
      <protection locked="0"/>
    </xf>
    <xf numFmtId="170" fontId="62" fillId="0" borderId="24" xfId="2" applyNumberFormat="1" applyFont="1" applyBorder="1" applyAlignment="1" applyProtection="1">
      <protection locked="0"/>
    </xf>
    <xf numFmtId="170" fontId="62" fillId="0" borderId="21" xfId="2" applyNumberFormat="1" applyFont="1" applyBorder="1" applyAlignment="1" applyProtection="1">
      <protection locked="0"/>
    </xf>
    <xf numFmtId="170" fontId="67" fillId="0" borderId="20" xfId="2" applyNumberFormat="1" applyFont="1" applyBorder="1" applyAlignment="1">
      <alignment horizontal="right"/>
    </xf>
    <xf numFmtId="170" fontId="67" fillId="0" borderId="0" xfId="2" applyNumberFormat="1" applyFont="1" applyBorder="1" applyAlignment="1">
      <alignment horizontal="right"/>
    </xf>
    <xf numFmtId="170" fontId="67" fillId="0" borderId="0" xfId="2" applyNumberFormat="1" applyFont="1" applyAlignment="1" applyProtection="1">
      <protection locked="0"/>
    </xf>
    <xf numFmtId="170" fontId="67" fillId="0" borderId="24" xfId="2" applyNumberFormat="1" applyFont="1" applyBorder="1" applyAlignment="1" applyProtection="1">
      <protection locked="0"/>
    </xf>
    <xf numFmtId="170" fontId="67" fillId="0" borderId="21" xfId="2" applyNumberFormat="1" applyFont="1" applyBorder="1" applyAlignment="1" applyProtection="1">
      <protection locked="0"/>
    </xf>
    <xf numFmtId="170" fontId="62" fillId="0" borderId="20" xfId="2" applyNumberFormat="1" applyFont="1" applyBorder="1" applyAlignment="1" applyProtection="1">
      <protection locked="0"/>
    </xf>
    <xf numFmtId="170" fontId="62" fillId="0" borderId="24" xfId="2" applyNumberFormat="1" applyFont="1" applyBorder="1" applyAlignment="1" applyProtection="1">
      <alignment horizontal="center"/>
      <protection locked="0"/>
    </xf>
    <xf numFmtId="170" fontId="62" fillId="0" borderId="0" xfId="2" applyNumberFormat="1" applyFont="1" applyAlignment="1" applyProtection="1">
      <alignment horizontal="center"/>
      <protection locked="0"/>
    </xf>
    <xf numFmtId="170" fontId="62" fillId="0" borderId="0" xfId="2" quotePrefix="1" applyNumberFormat="1" applyFont="1" applyBorder="1" applyAlignment="1">
      <alignment horizontal="right"/>
    </xf>
    <xf numFmtId="170" fontId="67" fillId="0" borderId="0" xfId="2" quotePrefix="1" applyNumberFormat="1" applyFont="1" applyAlignment="1">
      <alignment horizontal="right"/>
    </xf>
    <xf numFmtId="170" fontId="67" fillId="0" borderId="10" xfId="2" quotePrefix="1" applyNumberFormat="1" applyFont="1" applyBorder="1" applyAlignment="1"/>
    <xf numFmtId="170" fontId="67" fillId="0" borderId="10" xfId="2" quotePrefix="1" applyNumberFormat="1" applyFont="1" applyBorder="1" applyAlignment="1">
      <alignment horizontal="right"/>
    </xf>
    <xf numFmtId="170" fontId="67" fillId="0" borderId="0" xfId="2" applyNumberFormat="1" applyFont="1" applyBorder="1" applyAlignment="1" applyProtection="1">
      <protection locked="0"/>
    </xf>
    <xf numFmtId="170" fontId="67" fillId="0" borderId="20" xfId="2" applyNumberFormat="1" applyFont="1" applyBorder="1" applyAlignment="1">
      <alignment horizontal="center"/>
    </xf>
    <xf numFmtId="170" fontId="67" fillId="0" borderId="0" xfId="2" applyNumberFormat="1" applyFont="1" applyAlignment="1" applyProtection="1">
      <alignment horizontal="right"/>
      <protection locked="0"/>
    </xf>
    <xf numFmtId="170" fontId="67" fillId="0" borderId="24" xfId="2" applyNumberFormat="1" applyFont="1" applyBorder="1" applyAlignment="1" applyProtection="1">
      <alignment horizontal="right"/>
      <protection locked="0"/>
    </xf>
    <xf numFmtId="170" fontId="67" fillId="0" borderId="0" xfId="2" applyNumberFormat="1" applyFont="1" applyBorder="1" applyAlignment="1" applyProtection="1">
      <alignment horizontal="right"/>
      <protection locked="0"/>
    </xf>
    <xf numFmtId="170" fontId="67" fillId="0" borderId="0" xfId="2" quotePrefix="1" applyNumberFormat="1" applyFont="1" applyBorder="1" applyAlignment="1">
      <alignment horizontal="right"/>
    </xf>
    <xf numFmtId="170" fontId="67" fillId="0" borderId="18" xfId="2" applyNumberFormat="1" applyFont="1" applyBorder="1" applyAlignment="1"/>
    <xf numFmtId="174" fontId="67" fillId="0" borderId="20" xfId="2" applyNumberFormat="1" applyFont="1" applyBorder="1" applyAlignment="1"/>
    <xf numFmtId="174" fontId="67" fillId="0" borderId="0" xfId="2" applyNumberFormat="1" applyFont="1" applyAlignment="1" applyProtection="1">
      <protection locked="0"/>
    </xf>
    <xf numFmtId="174" fontId="67" fillId="0" borderId="18" xfId="2" applyNumberFormat="1" applyFont="1" applyBorder="1" applyAlignment="1"/>
    <xf numFmtId="166" fontId="62" fillId="0" borderId="36" xfId="2" applyNumberFormat="1" applyFont="1" applyBorder="1" applyAlignment="1"/>
    <xf numFmtId="166" fontId="62" fillId="0" borderId="0" xfId="2" applyNumberFormat="1" applyFont="1" applyAlignment="1"/>
    <xf numFmtId="166" fontId="62" fillId="0" borderId="0" xfId="2" applyNumberFormat="1" applyFont="1" applyBorder="1" applyAlignment="1"/>
    <xf numFmtId="170" fontId="67" fillId="0" borderId="0" xfId="2" applyNumberFormat="1" applyFont="1" applyAlignment="1" applyProtection="1">
      <alignment horizontal="right"/>
    </xf>
    <xf numFmtId="170" fontId="62" fillId="0" borderId="0" xfId="2" quotePrefix="1" applyNumberFormat="1" applyFont="1" applyBorder="1" applyAlignment="1"/>
    <xf numFmtId="170" fontId="67" fillId="0" borderId="0" xfId="2" quotePrefix="1" applyNumberFormat="1" applyFont="1" applyAlignment="1">
      <alignment horizontal="center"/>
    </xf>
    <xf numFmtId="170" fontId="67" fillId="0" borderId="0" xfId="2" applyNumberFormat="1" applyFont="1" applyAlignment="1">
      <alignment horizontal="center"/>
    </xf>
    <xf numFmtId="170" fontId="67" fillId="0" borderId="0" xfId="2" applyNumberFormat="1" applyFont="1" applyBorder="1" applyAlignment="1">
      <alignment horizontal="center"/>
    </xf>
    <xf numFmtId="170" fontId="67" fillId="0" borderId="0" xfId="2" applyNumberFormat="1" applyFont="1" applyAlignment="1" applyProtection="1">
      <alignment horizontal="center"/>
      <protection locked="0"/>
    </xf>
    <xf numFmtId="170" fontId="67" fillId="0" borderId="20" xfId="2" quotePrefix="1" applyNumberFormat="1" applyFont="1" applyBorder="1" applyAlignment="1">
      <alignment horizontal="center"/>
    </xf>
    <xf numFmtId="170" fontId="67"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3" fillId="0" borderId="0" xfId="17" applyNumberFormat="1" applyFont="1" applyBorder="1"/>
    <xf numFmtId="0" fontId="108" fillId="0" borderId="0" xfId="17" applyNumberFormat="1" applyFont="1" applyBorder="1" applyAlignment="1" applyProtection="1">
      <protection locked="0"/>
    </xf>
    <xf numFmtId="0" fontId="108" fillId="0" borderId="0" xfId="17" applyNumberFormat="1" applyFont="1" applyBorder="1" applyAlignment="1"/>
    <xf numFmtId="0" fontId="108" fillId="0" borderId="0" xfId="17" applyNumberFormat="1" applyFont="1" applyBorder="1" applyAlignment="1">
      <alignment horizontal="center"/>
    </xf>
    <xf numFmtId="0" fontId="37" fillId="0" borderId="0" xfId="17" applyNumberFormat="1" applyFont="1" applyBorder="1" applyAlignment="1" applyProtection="1"/>
    <xf numFmtId="165" fontId="164" fillId="0" borderId="0" xfId="2" applyNumberFormat="1" applyFont="1" applyAlignment="1"/>
    <xf numFmtId="164" fontId="37" fillId="0" borderId="0" xfId="1028" applyNumberFormat="1" applyFont="1" applyBorder="1" applyAlignment="1"/>
    <xf numFmtId="164" fontId="37" fillId="0" borderId="0" xfId="1028" quotePrefix="1" applyNumberFormat="1" applyFont="1" applyBorder="1" applyAlignment="1"/>
    <xf numFmtId="164" fontId="37" fillId="0" borderId="0" xfId="1028" quotePrefix="1" applyNumberFormat="1" applyFont="1" applyAlignment="1"/>
    <xf numFmtId="164" fontId="37" fillId="0" borderId="0" xfId="1028" applyNumberFormat="1" applyFont="1" applyFill="1" applyBorder="1" applyAlignment="1"/>
    <xf numFmtId="0" fontId="43" fillId="0" borderId="0" xfId="8" applyFont="1" applyAlignment="1">
      <alignment horizontal="right"/>
    </xf>
    <xf numFmtId="193"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6"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applyNumberFormat="1" applyFont="1" applyAlignment="1">
      <alignment horizontal="center"/>
    </xf>
    <xf numFmtId="170" fontId="39" fillId="0" borderId="66" xfId="2" applyNumberFormat="1" applyFont="1" applyBorder="1"/>
    <xf numFmtId="177" fontId="67" fillId="0" borderId="66" xfId="836" applyNumberFormat="1" applyFont="1" applyFill="1" applyBorder="1" applyAlignment="1">
      <alignment horizontal="right"/>
    </xf>
    <xf numFmtId="174" fontId="67" fillId="0" borderId="35" xfId="2" applyNumberFormat="1" applyFont="1" applyBorder="1" applyAlignment="1"/>
    <xf numFmtId="170" fontId="80" fillId="0" borderId="66" xfId="2" applyNumberFormat="1" applyFont="1" applyBorder="1" applyAlignment="1">
      <alignment horizontal="right"/>
    </xf>
    <xf numFmtId="164" fontId="44" fillId="0" borderId="66" xfId="2" applyNumberFormat="1" applyFont="1" applyBorder="1"/>
    <xf numFmtId="174" fontId="80" fillId="0" borderId="17" xfId="2" applyNumberFormat="1" applyFont="1" applyBorder="1" applyAlignment="1"/>
    <xf numFmtId="180" fontId="0" fillId="0" borderId="0" xfId="17" applyNumberFormat="1" applyFont="1"/>
    <xf numFmtId="183" fontId="39" fillId="0" borderId="0" xfId="0" applyNumberFormat="1" applyFont="1" applyBorder="1" applyAlignment="1" applyProtection="1">
      <protection locked="0"/>
    </xf>
    <xf numFmtId="164" fontId="39" fillId="0" borderId="66"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6" xfId="2" quotePrefix="1" applyNumberFormat="1" applyFont="1" applyFill="1" applyBorder="1" applyAlignment="1">
      <alignment horizontal="center"/>
    </xf>
    <xf numFmtId="184" fontId="67" fillId="0" borderId="0" xfId="836" quotePrefix="1" applyNumberFormat="1" applyFont="1" applyAlignment="1">
      <alignment horizontal="center"/>
    </xf>
    <xf numFmtId="179" fontId="67" fillId="0" borderId="0" xfId="836" quotePrefix="1" applyNumberFormat="1" applyFont="1" applyAlignment="1">
      <alignment horizontal="center"/>
    </xf>
    <xf numFmtId="179" fontId="67" fillId="0" borderId="0" xfId="836" quotePrefix="1" applyNumberFormat="1" applyFont="1" applyFill="1" applyAlignment="1">
      <alignment horizontal="center"/>
    </xf>
    <xf numFmtId="0" fontId="37" fillId="0" borderId="0" xfId="2" quotePrefix="1" applyNumberFormat="1" applyFont="1" applyFill="1" applyBorder="1" applyAlignment="1">
      <alignment horizontal="left"/>
    </xf>
    <xf numFmtId="0" fontId="166" fillId="0" borderId="0" xfId="2" applyFont="1"/>
    <xf numFmtId="4" fontId="37" fillId="0" borderId="0" xfId="1028" applyNumberFormat="1" applyFont="1" applyFill="1" applyAlignment="1">
      <alignment horizontal="center"/>
    </xf>
    <xf numFmtId="0" fontId="80" fillId="0" borderId="0" xfId="2" quotePrefix="1" applyNumberFormat="1" applyFont="1" applyAlignment="1">
      <alignment horizontal="center"/>
    </xf>
    <xf numFmtId="0" fontId="44" fillId="0" borderId="0" xfId="840" quotePrefix="1" applyNumberFormat="1" applyFont="1" applyAlignment="1">
      <alignment horizontal="center"/>
    </xf>
    <xf numFmtId="164" fontId="37" fillId="0" borderId="0" xfId="0" applyNumberFormat="1" applyFont="1" applyBorder="1" applyAlignment="1" applyProtection="1">
      <protection locked="0"/>
    </xf>
    <xf numFmtId="0" fontId="168" fillId="0" borderId="0" xfId="0" applyNumberFormat="1" applyFont="1"/>
    <xf numFmtId="41" fontId="168" fillId="0" borderId="0" xfId="0" applyNumberFormat="1" applyFont="1" applyFill="1"/>
    <xf numFmtId="41" fontId="168" fillId="0" borderId="0" xfId="0" applyNumberFormat="1" applyFont="1" applyAlignment="1"/>
    <xf numFmtId="0" fontId="168" fillId="0" borderId="0" xfId="0" applyNumberFormat="1" applyFont="1" applyFill="1"/>
    <xf numFmtId="0" fontId="168" fillId="0" borderId="0" xfId="0" applyNumberFormat="1" applyFont="1" applyBorder="1" applyAlignment="1"/>
    <xf numFmtId="0" fontId="168" fillId="0" borderId="0" xfId="0" applyNumberFormat="1" applyFont="1" applyFill="1" applyAlignment="1"/>
    <xf numFmtId="41" fontId="168" fillId="0" borderId="0" xfId="0" applyNumberFormat="1" applyFont="1" applyFill="1" applyBorder="1"/>
    <xf numFmtId="49" fontId="168" fillId="0" borderId="0" xfId="0" applyNumberFormat="1" applyFont="1" applyFill="1" applyAlignment="1">
      <alignment wrapText="1"/>
    </xf>
    <xf numFmtId="190" fontId="168" fillId="0" borderId="0" xfId="0" applyNumberFormat="1" applyFont="1" applyFill="1" applyBorder="1" applyAlignment="1">
      <alignment vertical="center"/>
    </xf>
    <xf numFmtId="0" fontId="168" fillId="0" borderId="0" xfId="0" applyNumberFormat="1" applyFont="1" applyBorder="1"/>
    <xf numFmtId="0" fontId="168" fillId="0" borderId="0" xfId="0" applyNumberFormat="1" applyFont="1" applyAlignment="1"/>
    <xf numFmtId="0" fontId="98" fillId="0" borderId="0" xfId="1767" applyFont="1"/>
    <xf numFmtId="43" fontId="37" fillId="0" borderId="0" xfId="1767" applyNumberFormat="1" applyFont="1" applyFill="1" applyAlignment="1" applyProtection="1">
      <alignment horizontal="right"/>
      <protection locked="0"/>
    </xf>
    <xf numFmtId="0" fontId="117" fillId="0" borderId="0" xfId="1028" applyFont="1" applyAlignment="1">
      <alignment horizontal="left"/>
    </xf>
    <xf numFmtId="37" fontId="37" fillId="0" borderId="0" xfId="0" applyNumberFormat="1" applyFont="1" applyAlignment="1" applyProtection="1">
      <alignment horizontal="left"/>
      <protection locked="0"/>
    </xf>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166" fontId="44" fillId="0" borderId="0" xfId="0" applyNumberFormat="1" applyFont="1" applyBorder="1" applyAlignment="1">
      <alignment horizontal="center"/>
    </xf>
    <xf numFmtId="166" fontId="44" fillId="0" borderId="10" xfId="0" applyNumberFormat="1" applyFont="1" applyBorder="1" applyAlignment="1">
      <alignment horizontal="center"/>
    </xf>
    <xf numFmtId="0" fontId="44" fillId="0" borderId="0" xfId="2" applyNumberFormat="1" applyFont="1" applyAlignment="1">
      <alignment horizontal="right"/>
    </xf>
    <xf numFmtId="170" fontId="44" fillId="0" borderId="0" xfId="2" applyNumberFormat="1" applyFont="1" applyAlignment="1"/>
    <xf numFmtId="165" fontId="37" fillId="35"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169" fontId="37" fillId="0" borderId="0" xfId="2" applyNumberFormat="1" applyFont="1" applyAlignment="1"/>
    <xf numFmtId="37" fontId="37" fillId="0" borderId="0" xfId="2" quotePrefix="1" applyNumberFormat="1" applyFont="1" applyAlignment="1">
      <alignment horizontal="center"/>
    </xf>
    <xf numFmtId="170" fontId="37" fillId="0" borderId="66" xfId="2" applyNumberFormat="1" applyFont="1" applyBorder="1" applyAlignment="1">
      <alignment horizontal="right"/>
    </xf>
    <xf numFmtId="170" fontId="37" fillId="0" borderId="66"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3" xfId="2" applyNumberFormat="1" applyFont="1" applyBorder="1" applyAlignment="1">
      <alignment horizontal="center"/>
    </xf>
    <xf numFmtId="37" fontId="42" fillId="0" borderId="73" xfId="2" applyNumberFormat="1" applyFont="1" applyBorder="1" applyAlignment="1"/>
    <xf numFmtId="37" fontId="37" fillId="0" borderId="73"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3" xfId="2" applyNumberFormat="1" applyFont="1" applyBorder="1" applyAlignment="1"/>
    <xf numFmtId="174" fontId="37" fillId="0" borderId="0" xfId="2" quotePrefix="1" applyNumberFormat="1" applyFont="1" applyAlignment="1"/>
    <xf numFmtId="170" fontId="37" fillId="0" borderId="73" xfId="2" applyNumberFormat="1" applyFont="1" applyBorder="1" applyAlignment="1"/>
    <xf numFmtId="170" fontId="37" fillId="0" borderId="73" xfId="2" applyNumberFormat="1" applyFont="1" applyBorder="1" applyAlignment="1">
      <alignment horizontal="center"/>
    </xf>
    <xf numFmtId="170" fontId="44" fillId="0" borderId="73" xfId="2" applyNumberFormat="1" applyFont="1" applyBorder="1" applyAlignment="1"/>
    <xf numFmtId="174" fontId="44" fillId="0" borderId="73"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66" xfId="2" applyNumberFormat="1" applyFont="1" applyBorder="1" applyAlignment="1">
      <alignment horizontal="center"/>
    </xf>
    <xf numFmtId="174" fontId="59" fillId="0" borderId="28" xfId="2" applyNumberFormat="1" applyFont="1" applyBorder="1" applyAlignment="1"/>
    <xf numFmtId="166" fontId="60" fillId="0" borderId="28" xfId="2" applyNumberFormat="1" applyFont="1" applyBorder="1" applyAlignment="1"/>
    <xf numFmtId="170" fontId="60" fillId="0" borderId="28" xfId="2" applyNumberFormat="1" applyFont="1" applyBorder="1" applyAlignment="1"/>
    <xf numFmtId="164" fontId="37" fillId="0" borderId="0" xfId="2" applyNumberFormat="1" applyFont="1" applyAlignment="1"/>
    <xf numFmtId="170" fontId="60" fillId="0" borderId="73" xfId="2" applyNumberFormat="1" applyFont="1" applyBorder="1" applyAlignment="1"/>
    <xf numFmtId="170" fontId="59" fillId="0" borderId="66" xfId="2" applyNumberFormat="1" applyFont="1" applyBorder="1" applyAlignment="1">
      <alignment horizontal="right"/>
    </xf>
    <xf numFmtId="164" fontId="44" fillId="0" borderId="66" xfId="2" applyNumberFormat="1" applyFont="1" applyBorder="1" applyAlignment="1"/>
    <xf numFmtId="3" fontId="37" fillId="0" borderId="0" xfId="2" applyNumberFormat="1" applyFont="1" applyAlignment="1">
      <alignment vertical="center"/>
    </xf>
    <xf numFmtId="3" fontId="37" fillId="0" borderId="0" xfId="2" applyNumberFormat="1" applyFont="1" applyAlignment="1">
      <alignment horizontal="left" vertical="center"/>
    </xf>
    <xf numFmtId="170" fontId="60" fillId="0" borderId="74" xfId="2" applyNumberFormat="1" applyFont="1" applyBorder="1" applyAlignment="1"/>
    <xf numFmtId="170" fontId="60" fillId="0" borderId="75" xfId="2" applyNumberFormat="1" applyFont="1" applyBorder="1" applyAlignment="1"/>
    <xf numFmtId="170" fontId="59" fillId="0" borderId="74" xfId="2" applyNumberFormat="1" applyFont="1" applyBorder="1" applyAlignment="1"/>
    <xf numFmtId="164" fontId="37" fillId="0" borderId="66" xfId="2" quotePrefix="1" applyNumberFormat="1" applyFont="1" applyBorder="1" applyAlignment="1"/>
    <xf numFmtId="170" fontId="59" fillId="0" borderId="66" xfId="2" applyNumberFormat="1" applyFont="1" applyBorder="1" applyAlignment="1"/>
    <xf numFmtId="164" fontId="37" fillId="0" borderId="66" xfId="2" applyNumberFormat="1" applyFont="1" applyBorder="1" applyAlignment="1"/>
    <xf numFmtId="172" fontId="44" fillId="0" borderId="66" xfId="2" applyNumberFormat="1" applyFont="1" applyBorder="1" applyAlignment="1"/>
    <xf numFmtId="166" fontId="43" fillId="0" borderId="0" xfId="0" applyNumberFormat="1" applyFont="1" applyFill="1" applyBorder="1" applyAlignment="1"/>
    <xf numFmtId="165" fontId="40" fillId="0" borderId="0" xfId="0" applyNumberFormat="1" applyFont="1" applyFill="1" applyBorder="1" applyAlignment="1"/>
    <xf numFmtId="166" fontId="57" fillId="0" borderId="0" xfId="0" applyNumberFormat="1" applyFont="1" applyFill="1" applyBorder="1" applyAlignment="1"/>
    <xf numFmtId="166" fontId="57" fillId="0" borderId="0" xfId="0" applyNumberFormat="1" applyFont="1" applyFill="1" applyAlignment="1"/>
    <xf numFmtId="166" fontId="44" fillId="0" borderId="0" xfId="0" applyNumberFormat="1" applyFont="1" applyFill="1" applyBorder="1" applyAlignment="1">
      <alignment horizontal="center"/>
    </xf>
    <xf numFmtId="166" fontId="59" fillId="0" borderId="0" xfId="0" applyNumberFormat="1" applyFont="1" applyFill="1" applyBorder="1" applyAlignment="1">
      <alignment horizontal="center"/>
    </xf>
    <xf numFmtId="166" fontId="60" fillId="0" borderId="0" xfId="0" applyNumberFormat="1" applyFont="1" applyFill="1" applyBorder="1" applyAlignment="1"/>
    <xf numFmtId="174" fontId="60" fillId="0" borderId="0" xfId="0" applyNumberFormat="1" applyFont="1" applyFill="1" applyBorder="1" applyAlignment="1"/>
    <xf numFmtId="170" fontId="60" fillId="0" borderId="0" xfId="0" applyNumberFormat="1" applyFont="1" applyFill="1" applyBorder="1" applyAlignment="1"/>
    <xf numFmtId="170" fontId="60" fillId="0" borderId="0" xfId="0" applyNumberFormat="1" applyFont="1" applyFill="1" applyBorder="1" applyAlignment="1">
      <alignment horizontal="center"/>
    </xf>
    <xf numFmtId="170" fontId="59" fillId="0" borderId="0" xfId="0" applyNumberFormat="1" applyFont="1" applyFill="1" applyBorder="1" applyAlignment="1">
      <alignment horizontal="center"/>
    </xf>
    <xf numFmtId="174" fontId="39" fillId="0" borderId="0" xfId="0" applyNumberFormat="1" applyFont="1" applyFill="1" applyAlignment="1"/>
    <xf numFmtId="170" fontId="39" fillId="0" borderId="0" xfId="0" applyNumberFormat="1" applyFont="1" applyFill="1" applyAlignment="1">
      <alignment horizontal="center"/>
    </xf>
    <xf numFmtId="170" fontId="39" fillId="0" borderId="14" xfId="0" applyNumberFormat="1" applyFont="1" applyFill="1" applyBorder="1" applyAlignment="1"/>
    <xf numFmtId="170" fontId="59" fillId="0" borderId="14" xfId="0" applyNumberFormat="1" applyFont="1" applyFill="1" applyBorder="1" applyAlignment="1"/>
    <xf numFmtId="174" fontId="59" fillId="0" borderId="14" xfId="0" applyNumberFormat="1" applyFont="1" applyFill="1" applyBorder="1" applyAlignment="1"/>
    <xf numFmtId="164" fontId="44" fillId="0" borderId="66" xfId="0" applyNumberFormat="1" applyFont="1" applyBorder="1" applyAlignment="1" applyProtection="1">
      <protection locked="0"/>
    </xf>
    <xf numFmtId="0" fontId="44" fillId="0" borderId="0" xfId="2" applyNumberFormat="1" applyFont="1" applyAlignment="1">
      <alignment horizontal="right"/>
    </xf>
    <xf numFmtId="165" fontId="64" fillId="0" borderId="66" xfId="2" applyNumberFormat="1" applyFont="1" applyBorder="1" applyAlignment="1" applyProtection="1">
      <alignment horizontal="center"/>
      <protection locked="0"/>
    </xf>
    <xf numFmtId="165" fontId="64" fillId="0" borderId="66" xfId="2" applyNumberFormat="1" applyFont="1" applyBorder="1" applyAlignment="1" applyProtection="1">
      <protection locked="0"/>
    </xf>
    <xf numFmtId="0" fontId="65" fillId="0" borderId="66" xfId="2" applyNumberFormat="1" applyFont="1" applyBorder="1" applyAlignment="1"/>
    <xf numFmtId="0" fontId="44" fillId="0" borderId="0" xfId="2" applyNumberFormat="1" applyFont="1" applyAlignment="1">
      <alignment horizontal="left"/>
    </xf>
    <xf numFmtId="37" fontId="134" fillId="0" borderId="0" xfId="2" applyNumberFormat="1" applyFont="1" applyFill="1" applyBorder="1" applyAlignment="1"/>
    <xf numFmtId="37" fontId="132"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5"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5" xfId="4" applyNumberFormat="1" applyFont="1" applyFill="1" applyBorder="1"/>
    <xf numFmtId="170" fontId="39" fillId="0" borderId="75" xfId="2" applyNumberFormat="1" applyFont="1" applyBorder="1" applyAlignment="1">
      <alignment horizontal="center"/>
    </xf>
    <xf numFmtId="0" fontId="44" fillId="0" borderId="0" xfId="2" applyNumberFormat="1" applyFont="1" applyAlignment="1">
      <alignment horizontal="left"/>
    </xf>
    <xf numFmtId="0" fontId="38" fillId="0" borderId="0" xfId="2" applyNumberFormat="1" applyFont="1" applyAlignment="1">
      <alignment horizontal="right"/>
    </xf>
    <xf numFmtId="0" fontId="44" fillId="0" borderId="0" xfId="2" applyNumberFormat="1" applyFont="1" applyFill="1" applyAlignment="1">
      <alignment horizontal="right"/>
    </xf>
    <xf numFmtId="37" fontId="132" fillId="0" borderId="0" xfId="2" applyNumberFormat="1" applyFont="1" applyBorder="1" applyAlignment="1"/>
    <xf numFmtId="37" fontId="44" fillId="0" borderId="75" xfId="2" applyNumberFormat="1" applyFont="1" applyBorder="1" applyAlignment="1">
      <alignment horizontal="center"/>
    </xf>
    <xf numFmtId="170" fontId="44" fillId="0" borderId="0" xfId="2" quotePrefix="1" applyNumberFormat="1" applyFont="1" applyBorder="1" applyAlignment="1"/>
    <xf numFmtId="166" fontId="66" fillId="0" borderId="0" xfId="2" applyNumberFormat="1" applyFont="1" applyBorder="1" applyAlignment="1"/>
    <xf numFmtId="0" fontId="67" fillId="0" borderId="0" xfId="2" quotePrefix="1" applyNumberFormat="1" applyFont="1" applyBorder="1" applyAlignment="1">
      <alignment horizontal="left"/>
    </xf>
    <xf numFmtId="174" fontId="67" fillId="0" borderId="0" xfId="2" quotePrefix="1" applyNumberFormat="1" applyFont="1" applyBorder="1" applyAlignment="1">
      <alignment horizontal="right"/>
    </xf>
    <xf numFmtId="0" fontId="39" fillId="0" borderId="15" xfId="2" applyNumberFormat="1" applyFont="1" applyBorder="1" applyAlignment="1"/>
    <xf numFmtId="0" fontId="78" fillId="0" borderId="0" xfId="2" applyNumberFormat="1" applyFont="1" applyAlignment="1"/>
    <xf numFmtId="0" fontId="78" fillId="0" borderId="0" xfId="2" quotePrefix="1" applyNumberFormat="1" applyFont="1" applyAlignment="1">
      <alignment horizontal="left"/>
    </xf>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0" fontId="39" fillId="0" borderId="15" xfId="2"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2" fillId="0" borderId="0" xfId="0" applyNumberFormat="1" applyFont="1" applyFill="1" applyAlignment="1"/>
    <xf numFmtId="166" fontId="44" fillId="0" borderId="0" xfId="0" applyNumberFormat="1" applyFont="1" applyFill="1" applyAlignment="1">
      <alignment horizontal="center"/>
    </xf>
    <xf numFmtId="169" fontId="39" fillId="0" borderId="0" xfId="0" applyNumberFormat="1" applyFont="1" applyFill="1" applyBorder="1" applyAlignment="1"/>
    <xf numFmtId="166" fontId="40" fillId="0" borderId="0" xfId="0" applyNumberFormat="1" applyFont="1" applyFill="1" applyBorder="1" applyAlignment="1"/>
    <xf numFmtId="166" fontId="46" fillId="0" borderId="15" xfId="0" applyNumberFormat="1" applyFont="1" applyFill="1" applyBorder="1" applyAlignment="1"/>
    <xf numFmtId="169" fontId="46" fillId="0" borderId="15" xfId="0" applyNumberFormat="1" applyFont="1" applyFill="1" applyBorder="1" applyAlignment="1"/>
    <xf numFmtId="166" fontId="45" fillId="0" borderId="15" xfId="0" applyNumberFormat="1" applyFont="1" applyFill="1" applyBorder="1" applyAlignment="1"/>
    <xf numFmtId="169" fontId="45" fillId="0" borderId="15" xfId="0" applyNumberFormat="1" applyFont="1" applyFill="1" applyBorder="1" applyAlignment="1"/>
    <xf numFmtId="166" fontId="80" fillId="0" borderId="0" xfId="2" applyNumberFormat="1" applyFont="1" applyBorder="1" applyAlignment="1"/>
    <xf numFmtId="166" fontId="44" fillId="0" borderId="15" xfId="2" applyNumberFormat="1" applyFont="1" applyFill="1" applyBorder="1" applyAlignment="1"/>
    <xf numFmtId="0" fontId="44" fillId="0" borderId="15" xfId="2"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Font="1" applyFill="1" applyBorder="1" applyAlignment="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0" fontId="37" fillId="0" borderId="0" xfId="2" applyFont="1" applyFill="1" applyAlignment="1"/>
    <xf numFmtId="0" fontId="37" fillId="0" borderId="0" xfId="2" applyFont="1" applyFill="1" applyBorder="1" applyAlignment="1"/>
    <xf numFmtId="0" fontId="37" fillId="0" borderId="13" xfId="2" applyFont="1" applyFill="1" applyBorder="1" applyAlignment="1"/>
    <xf numFmtId="0" fontId="37" fillId="0" borderId="28" xfId="2" applyFont="1" applyFill="1" applyBorder="1" applyAlignment="1"/>
    <xf numFmtId="0" fontId="37" fillId="0" borderId="15" xfId="2"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1" xfId="2" applyNumberFormat="1" applyFont="1" applyFill="1" applyBorder="1" applyAlignment="1">
      <alignment horizontal="right"/>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0" fontId="37" fillId="0" borderId="15" xfId="2" quotePrefix="1" applyFont="1" applyFill="1" applyBorder="1" applyAlignment="1"/>
    <xf numFmtId="170" fontId="37" fillId="0" borderId="10" xfId="2" quotePrefix="1" applyNumberFormat="1" applyFont="1" applyFill="1" applyBorder="1" applyAlignment="1">
      <alignment horizontal="center"/>
    </xf>
    <xf numFmtId="170" fontId="37" fillId="0" borderId="71" xfId="2" quotePrefix="1" applyNumberFormat="1" applyFont="1" applyFill="1" applyBorder="1" applyAlignment="1">
      <alignment horizontal="right"/>
    </xf>
    <xf numFmtId="0" fontId="37" fillId="0" borderId="15" xfId="2" quotePrefix="1" applyFont="1" applyFill="1" applyBorder="1" applyAlignment="1">
      <alignment horizontal="center"/>
    </xf>
    <xf numFmtId="0" fontId="37" fillId="0" borderId="15" xfId="2" quotePrefix="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164" fontId="44" fillId="0" borderId="0" xfId="2" applyNumberFormat="1" applyFont="1" applyBorder="1" applyAlignment="1"/>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0" fontId="39" fillId="0" borderId="75" xfId="4" applyFont="1" applyFill="1" applyBorder="1"/>
    <xf numFmtId="166" fontId="39" fillId="0" borderId="75" xfId="4" applyNumberFormat="1" applyFont="1" applyFill="1" applyBorder="1"/>
    <xf numFmtId="170" fontId="44" fillId="0" borderId="16" xfId="5" applyNumberFormat="1" applyFont="1" applyFill="1" applyBorder="1"/>
    <xf numFmtId="170" fontId="44" fillId="0" borderId="75" xfId="4" applyNumberFormat="1" applyFont="1" applyFill="1" applyBorder="1"/>
    <xf numFmtId="170" fontId="44" fillId="0" borderId="0" xfId="4" applyNumberFormat="1" applyFont="1" applyFill="1" applyBorder="1"/>
    <xf numFmtId="170" fontId="44" fillId="0" borderId="0" xfId="5" applyNumberFormat="1" applyFont="1" applyFill="1" applyBorder="1"/>
    <xf numFmtId="0" fontId="44" fillId="0" borderId="66"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0" fontId="44" fillId="0" borderId="66" xfId="2" quotePrefix="1" applyNumberFormat="1" applyFont="1" applyBorder="1" applyAlignment="1">
      <alignment horizontal="center"/>
    </xf>
    <xf numFmtId="165" fontId="44" fillId="0" borderId="66" xfId="2" applyNumberFormat="1" applyFont="1" applyBorder="1" applyAlignment="1">
      <alignment horizontal="center"/>
    </xf>
    <xf numFmtId="0" fontId="67" fillId="0" borderId="0" xfId="836" quotePrefix="1" applyNumberFormat="1" applyFont="1" applyAlignment="1">
      <alignment horizontal="left"/>
    </xf>
    <xf numFmtId="166" fontId="39" fillId="0" borderId="75"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5" fillId="0" borderId="0" xfId="2" applyNumberFormat="1" applyFont="1" applyAlignment="1"/>
    <xf numFmtId="164" fontId="44" fillId="0" borderId="45" xfId="2" applyNumberFormat="1" applyFont="1" applyBorder="1" applyAlignment="1"/>
    <xf numFmtId="0" fontId="40" fillId="0" borderId="0" xfId="2" applyNumberFormat="1" applyFont="1" applyFill="1" applyAlignment="1"/>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70" fontId="59" fillId="0" borderId="0" xfId="2" applyNumberFormat="1" applyFont="1" applyBorder="1" applyAlignment="1"/>
    <xf numFmtId="170" fontId="76" fillId="0" borderId="0" xfId="2" applyNumberFormat="1" applyFont="1" applyBorder="1"/>
    <xf numFmtId="166" fontId="60" fillId="0" borderId="0" xfId="2" applyNumberFormat="1" applyFont="1" applyBorder="1" applyAlignment="1"/>
    <xf numFmtId="174" fontId="59" fillId="0" borderId="0" xfId="2" applyNumberFormat="1" applyFont="1" applyBorder="1" applyAlignment="1"/>
    <xf numFmtId="174" fontId="65"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70" fontId="44" fillId="0" borderId="10" xfId="0" applyNumberFormat="1" applyFont="1" applyFill="1" applyBorder="1" applyAlignment="1"/>
    <xf numFmtId="165" fontId="0" fillId="0" borderId="0" xfId="2" applyNumberFormat="1" applyFont="1" applyFill="1" applyAlignment="1"/>
    <xf numFmtId="0" fontId="44" fillId="0" borderId="0" xfId="2" applyFont="1" applyFill="1" applyAlignment="1"/>
    <xf numFmtId="0" fontId="0" fillId="0" borderId="0" xfId="2" applyNumberFormat="1" applyFont="1" applyFill="1" applyAlignment="1">
      <alignment horizontal="left"/>
    </xf>
    <xf numFmtId="170" fontId="0" fillId="0" borderId="0" xfId="0" applyNumberFormat="1" applyFont="1" applyAlignment="1">
      <alignment horizontal="right"/>
    </xf>
    <xf numFmtId="164" fontId="44" fillId="0" borderId="45" xfId="2" applyNumberFormat="1" applyFont="1" applyBorder="1" applyAlignment="1" applyProtection="1">
      <protection locked="0"/>
    </xf>
    <xf numFmtId="165" fontId="44" fillId="0" borderId="0" xfId="2" applyNumberFormat="1" applyFont="1" applyFill="1" applyBorder="1" applyAlignment="1"/>
    <xf numFmtId="164" fontId="0" fillId="0" borderId="0" xfId="0" applyAlignment="1"/>
    <xf numFmtId="174" fontId="0" fillId="0" borderId="0" xfId="0" applyNumberFormat="1" applyFont="1" applyAlignment="1"/>
    <xf numFmtId="170" fontId="39" fillId="0" borderId="0" xfId="2" quotePrefix="1" applyNumberFormat="1" applyFont="1" applyFill="1" applyAlignment="1"/>
    <xf numFmtId="194" fontId="39" fillId="0" borderId="0" xfId="2" applyNumberFormat="1" applyFont="1" applyFill="1" applyAlignment="1">
      <alignment horizontal="right"/>
    </xf>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5" xfId="2" applyNumberFormat="1" applyFont="1" applyFill="1" applyBorder="1" applyAlignment="1"/>
    <xf numFmtId="170" fontId="44" fillId="0" borderId="13" xfId="2" applyNumberFormat="1" applyFont="1" applyFill="1" applyBorder="1" applyAlignment="1"/>
    <xf numFmtId="170" fontId="66" fillId="0" borderId="0" xfId="2" applyNumberFormat="1" applyFont="1" applyFill="1" applyAlignment="1"/>
    <xf numFmtId="170" fontId="42" fillId="0" borderId="0" xfId="2" applyNumberFormat="1" applyFont="1" applyFill="1" applyAlignment="1"/>
    <xf numFmtId="170" fontId="44" fillId="0" borderId="0" xfId="2" applyNumberFormat="1" applyFont="1" applyFill="1" applyAlignment="1">
      <alignment horizontal="center"/>
    </xf>
    <xf numFmtId="165" fontId="66" fillId="0" borderId="0" xfId="2" applyNumberFormat="1" applyFont="1" applyFill="1" applyAlignment="1"/>
    <xf numFmtId="165" fontId="67" fillId="0" borderId="0" xfId="2" applyNumberFormat="1" applyFont="1" applyFill="1" applyBorder="1" applyAlignment="1">
      <alignment horizontal="right"/>
    </xf>
    <xf numFmtId="1" fontId="44" fillId="0" borderId="10" xfId="2" quotePrefix="1" applyNumberFormat="1" applyFont="1" applyFill="1" applyBorder="1" applyAlignment="1">
      <alignment horizontal="center"/>
    </xf>
    <xf numFmtId="165" fontId="39" fillId="0" borderId="0" xfId="2" applyNumberFormat="1" applyFont="1" applyFill="1" applyBorder="1" applyAlignment="1"/>
    <xf numFmtId="0" fontId="0" fillId="0" borderId="0" xfId="2" applyFont="1" applyFill="1"/>
    <xf numFmtId="165" fontId="89" fillId="0" borderId="0" xfId="2" applyNumberFormat="1" applyFont="1" applyFill="1" applyAlignment="1"/>
    <xf numFmtId="165" fontId="90" fillId="0" borderId="0" xfId="2" applyNumberFormat="1" applyFont="1" applyFill="1" applyAlignment="1"/>
    <xf numFmtId="165" fontId="88" fillId="0" borderId="0" xfId="2" applyNumberFormat="1" applyFont="1" applyFill="1" applyAlignment="1"/>
    <xf numFmtId="165" fontId="162" fillId="0" borderId="0" xfId="2" applyNumberFormat="1" applyFont="1" applyFill="1" applyAlignment="1"/>
    <xf numFmtId="169" fontId="39" fillId="0" borderId="0" xfId="2" quotePrefix="1" applyNumberFormat="1" applyFont="1" applyFill="1" applyAlignment="1">
      <alignment horizontal="right"/>
    </xf>
    <xf numFmtId="170" fontId="44" fillId="0" borderId="0" xfId="2" quotePrefix="1" applyNumberFormat="1" applyFont="1" applyFill="1" applyAlignment="1"/>
    <xf numFmtId="170" fontId="44" fillId="0" borderId="40" xfId="2" applyNumberFormat="1" applyFont="1" applyFill="1" applyBorder="1" applyAlignment="1"/>
    <xf numFmtId="0" fontId="83" fillId="0" borderId="0" xfId="2" applyFont="1" applyFill="1"/>
    <xf numFmtId="165" fontId="91" fillId="0" borderId="0" xfId="2" applyNumberFormat="1" applyFont="1" applyFill="1" applyAlignment="1">
      <alignment horizontal="centerContinuous"/>
    </xf>
    <xf numFmtId="0" fontId="81" fillId="0" borderId="0" xfId="2" applyNumberFormat="1" applyFont="1" applyFill="1" applyAlignment="1"/>
    <xf numFmtId="165" fontId="88" fillId="0" borderId="0" xfId="2" applyNumberFormat="1" applyFont="1" applyFill="1" applyAlignment="1">
      <alignment horizontal="centerContinuous"/>
    </xf>
    <xf numFmtId="0" fontId="44" fillId="0" borderId="0" xfId="2" quotePrefix="1" applyNumberFormat="1" applyFont="1" applyFill="1" applyBorder="1" applyAlignment="1">
      <alignment horizontal="center"/>
    </xf>
    <xf numFmtId="165" fontId="162"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37" fillId="0" borderId="0" xfId="2" applyFont="1" applyFill="1" applyBorder="1"/>
    <xf numFmtId="166" fontId="39" fillId="0" borderId="13" xfId="2" applyNumberFormat="1" applyFont="1" applyFill="1" applyBorder="1" applyAlignment="1"/>
    <xf numFmtId="0" fontId="0" fillId="0" borderId="0" xfId="2" applyFont="1" applyFill="1" applyBorder="1"/>
    <xf numFmtId="166" fontId="39" fillId="0" borderId="75" xfId="2" applyNumberFormat="1" applyFont="1" applyFill="1" applyBorder="1" applyAlignment="1"/>
    <xf numFmtId="166" fontId="0" fillId="0" borderId="0" xfId="2" applyNumberFormat="1" applyFont="1" applyFill="1"/>
    <xf numFmtId="170" fontId="44" fillId="0" borderId="15" xfId="2" applyNumberFormat="1" applyFont="1" applyFill="1" applyBorder="1" applyAlignment="1"/>
    <xf numFmtId="170" fontId="39" fillId="0" borderId="13" xfId="2" applyNumberFormat="1" applyFont="1" applyFill="1" applyBorder="1" applyAlignment="1">
      <alignment horizontal="center"/>
    </xf>
    <xf numFmtId="170" fontId="44" fillId="0" borderId="75" xfId="2" applyNumberFormat="1" applyFont="1" applyFill="1" applyBorder="1" applyAlignment="1">
      <alignment horizontal="center"/>
    </xf>
    <xf numFmtId="170" fontId="44" fillId="0" borderId="0" xfId="2" applyNumberFormat="1" applyFont="1" applyFill="1" applyBorder="1" applyAlignment="1">
      <alignment horizontal="center"/>
    </xf>
    <xf numFmtId="170" fontId="44" fillId="0" borderId="0" xfId="2" applyNumberFormat="1" applyFont="1" applyFill="1" applyAlignment="1">
      <alignment horizontal="right"/>
    </xf>
    <xf numFmtId="170" fontId="39" fillId="0" borderId="75" xfId="2" applyNumberFormat="1" applyFont="1" applyFill="1" applyBorder="1" applyAlignment="1">
      <alignment horizontal="center"/>
    </xf>
    <xf numFmtId="170" fontId="44" fillId="0" borderId="75" xfId="2" applyNumberFormat="1" applyFont="1" applyFill="1" applyBorder="1" applyAlignment="1"/>
    <xf numFmtId="170" fontId="44" fillId="0" borderId="66" xfId="2" applyNumberFormat="1" applyFont="1" applyFill="1" applyBorder="1" applyAlignment="1"/>
    <xf numFmtId="170" fontId="44" fillId="0" borderId="15" xfId="2" applyNumberFormat="1" applyFont="1" applyFill="1" applyBorder="1" applyAlignment="1">
      <alignment horizontal="center"/>
    </xf>
    <xf numFmtId="170" fontId="39" fillId="0" borderId="0" xfId="2" applyNumberFormat="1" applyFont="1" applyFill="1" applyAlignment="1">
      <alignment horizontal="right" vertical="center"/>
    </xf>
    <xf numFmtId="170" fontId="39" fillId="0" borderId="21" xfId="2" applyNumberFormat="1" applyFont="1" applyFill="1" applyBorder="1" applyAlignment="1">
      <alignment horizontal="right" vertical="center"/>
    </xf>
    <xf numFmtId="170" fontId="44" fillId="0" borderId="15" xfId="2" applyNumberFormat="1" applyFont="1" applyFill="1" applyBorder="1"/>
    <xf numFmtId="165" fontId="93" fillId="0" borderId="0" xfId="2" applyNumberFormat="1" applyFont="1" applyFill="1" applyAlignment="1"/>
    <xf numFmtId="170" fontId="44" fillId="0" borderId="0" xfId="2" quotePrefix="1" applyNumberFormat="1" applyFont="1" applyFill="1" applyAlignment="1">
      <alignment horizontal="center"/>
    </xf>
    <xf numFmtId="166" fontId="39" fillId="0" borderId="18" xfId="2" applyNumberFormat="1" applyFont="1" applyFill="1" applyBorder="1" applyAlignment="1"/>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6"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166" fontId="43" fillId="0" borderId="0" xfId="0" applyNumberFormat="1" applyFont="1" applyFill="1" applyAlignment="1"/>
    <xf numFmtId="166" fontId="56" fillId="0" borderId="0" xfId="0" applyNumberFormat="1" applyFont="1" applyFill="1" applyBorder="1" applyAlignment="1"/>
    <xf numFmtId="166" fontId="45" fillId="0" borderId="0" xfId="0" applyNumberFormat="1" applyFont="1" applyFill="1" applyBorder="1" applyAlignment="1">
      <alignment horizontal="center"/>
    </xf>
    <xf numFmtId="166" fontId="44" fillId="0" borderId="10" xfId="0" quotePrefix="1" applyNumberFormat="1" applyFont="1" applyFill="1" applyBorder="1" applyAlignment="1">
      <alignment horizontal="center"/>
    </xf>
    <xf numFmtId="166" fontId="44" fillId="0" borderId="10" xfId="0" applyNumberFormat="1" applyFont="1" applyFill="1" applyBorder="1" applyAlignment="1" applyProtection="1">
      <alignment horizontal="center"/>
      <protection locked="0"/>
    </xf>
    <xf numFmtId="166" fontId="39" fillId="0" borderId="14" xfId="0" applyNumberFormat="1" applyFont="1" applyFill="1" applyBorder="1" applyAlignment="1"/>
    <xf numFmtId="174" fontId="39" fillId="0" borderId="14" xfId="0" applyNumberFormat="1" applyFont="1" applyFill="1" applyBorder="1" applyAlignment="1"/>
    <xf numFmtId="174" fontId="39" fillId="0" borderId="0" xfId="0" applyNumberFormat="1" applyFont="1" applyFill="1" applyAlignment="1" applyProtection="1">
      <protection locked="0"/>
    </xf>
    <xf numFmtId="170" fontId="39" fillId="0" borderId="14" xfId="0" applyNumberFormat="1" applyFont="1" applyFill="1" applyBorder="1" applyAlignment="1">
      <alignment horizontal="center"/>
    </xf>
    <xf numFmtId="170" fontId="39" fillId="0" borderId="0" xfId="0" applyNumberFormat="1" applyFont="1" applyFill="1" applyBorder="1" applyAlignment="1">
      <alignment horizontal="center"/>
    </xf>
    <xf numFmtId="170" fontId="44" fillId="0" borderId="14" xfId="0" applyNumberFormat="1" applyFont="1" applyFill="1" applyBorder="1" applyAlignment="1"/>
    <xf numFmtId="170" fontId="44" fillId="0" borderId="16" xfId="0" applyNumberFormat="1" applyFont="1" applyFill="1" applyBorder="1" applyAlignment="1"/>
    <xf numFmtId="170" fontId="44" fillId="0" borderId="16" xfId="0" applyNumberFormat="1" applyFont="1" applyFill="1" applyBorder="1" applyAlignment="1" applyProtection="1">
      <protection locked="0"/>
    </xf>
    <xf numFmtId="170" fontId="39" fillId="0" borderId="0" xfId="0" quotePrefix="1" applyNumberFormat="1" applyFont="1" applyFill="1" applyAlignment="1" applyProtection="1">
      <alignment horizontal="center"/>
      <protection locked="0"/>
    </xf>
    <xf numFmtId="170" fontId="44" fillId="0" borderId="14" xfId="0" applyNumberFormat="1" applyFont="1" applyFill="1" applyBorder="1" applyAlignment="1">
      <alignment horizontal="center"/>
    </xf>
    <xf numFmtId="170" fontId="44" fillId="0" borderId="0" xfId="0" applyNumberFormat="1" applyFont="1" applyFill="1" applyBorder="1" applyAlignment="1">
      <alignment horizontal="center"/>
    </xf>
    <xf numFmtId="170" fontId="44" fillId="0" borderId="16" xfId="0" quotePrefix="1" applyNumberFormat="1" applyFont="1" applyFill="1" applyBorder="1" applyAlignment="1">
      <alignment horizontal="right"/>
    </xf>
    <xf numFmtId="0" fontId="44" fillId="0" borderId="10" xfId="2" applyNumberFormat="1" applyFont="1" applyBorder="1" applyAlignment="1">
      <alignment horizontal="center"/>
    </xf>
    <xf numFmtId="164" fontId="39" fillId="0" borderId="16" xfId="0" applyNumberFormat="1" applyFont="1" applyBorder="1" applyAlignment="1" applyProtection="1">
      <protection locked="0"/>
    </xf>
    <xf numFmtId="170" fontId="44" fillId="0" borderId="16" xfId="4" applyNumberFormat="1" applyFont="1" applyFill="1" applyBorder="1"/>
    <xf numFmtId="0" fontId="161" fillId="0" borderId="0" xfId="2" applyFont="1" applyBorder="1"/>
    <xf numFmtId="0" fontId="44" fillId="0" borderId="0" xfId="2" applyNumberFormat="1" applyFont="1" applyAlignment="1">
      <alignment horizontal="left"/>
    </xf>
    <xf numFmtId="166" fontId="39" fillId="0" borderId="28" xfId="2" applyNumberFormat="1" applyFont="1" applyFill="1" applyBorder="1" applyAlignment="1"/>
    <xf numFmtId="174" fontId="0" fillId="0" borderId="0" xfId="2" applyNumberFormat="1" applyFont="1" applyFill="1"/>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70" fillId="0" borderId="0" xfId="2" applyNumberFormat="1" applyFont="1" applyBorder="1" applyAlignment="1"/>
    <xf numFmtId="169" fontId="170" fillId="0" borderId="0" xfId="2" applyNumberFormat="1" applyFont="1" applyBorder="1" applyAlignment="1" applyProtection="1">
      <alignment horizontal="right"/>
      <protection locked="0"/>
    </xf>
    <xf numFmtId="0" fontId="171" fillId="0" borderId="0" xfId="2" applyFont="1" applyBorder="1" applyAlignment="1" applyProtection="1">
      <protection locked="0"/>
    </xf>
    <xf numFmtId="166" fontId="171" fillId="0" borderId="15" xfId="2" applyNumberFormat="1" applyFont="1" applyBorder="1" applyAlignment="1" applyProtection="1">
      <protection locked="0"/>
    </xf>
    <xf numFmtId="0" fontId="171" fillId="0" borderId="15" xfId="2" applyNumberFormat="1" applyFont="1" applyBorder="1" applyAlignment="1"/>
    <xf numFmtId="166" fontId="171" fillId="0" borderId="15" xfId="2" applyNumberFormat="1" applyFont="1" applyBorder="1" applyAlignment="1" applyProtection="1">
      <alignment horizontal="center"/>
      <protection locked="0"/>
    </xf>
    <xf numFmtId="166" fontId="171" fillId="0" borderId="15" xfId="2" quotePrefix="1" applyNumberFormat="1" applyFont="1" applyBorder="1" applyAlignment="1" applyProtection="1">
      <alignment horizontal="right"/>
      <protection locked="0"/>
    </xf>
    <xf numFmtId="166" fontId="171" fillId="0" borderId="15" xfId="2" applyNumberFormat="1" applyFont="1" applyBorder="1" applyAlignment="1"/>
    <xf numFmtId="166" fontId="170" fillId="0" borderId="15" xfId="2" applyNumberFormat="1" applyFont="1" applyBorder="1" applyAlignment="1"/>
    <xf numFmtId="169" fontId="171" fillId="0" borderId="15" xfId="2" applyNumberFormat="1" applyFont="1" applyBorder="1" applyAlignment="1"/>
    <xf numFmtId="0" fontId="171" fillId="0" borderId="0" xfId="2" applyNumberFormat="1" applyFont="1" applyAlignment="1"/>
    <xf numFmtId="0" fontId="171" fillId="0" borderId="0" xfId="2" applyNumberFormat="1" applyFont="1" applyBorder="1" applyAlignment="1"/>
    <xf numFmtId="165" fontId="171" fillId="0" borderId="0" xfId="2" applyNumberFormat="1" applyFont="1" applyAlignment="1"/>
    <xf numFmtId="166" fontId="171" fillId="0" borderId="0" xfId="2" applyNumberFormat="1" applyFont="1" applyAlignment="1"/>
    <xf numFmtId="165" fontId="170" fillId="0" borderId="0" xfId="2" applyNumberFormat="1" applyFont="1" applyAlignment="1">
      <alignment horizontal="center"/>
    </xf>
    <xf numFmtId="165" fontId="170" fillId="0" borderId="0" xfId="2" quotePrefix="1" applyNumberFormat="1" applyFont="1" applyAlignment="1">
      <alignment horizontal="center"/>
    </xf>
    <xf numFmtId="165" fontId="170" fillId="0" borderId="10" xfId="2" applyNumberFormat="1" applyFont="1" applyBorder="1" applyAlignment="1">
      <alignment horizontal="center"/>
    </xf>
    <xf numFmtId="165" fontId="170" fillId="0" borderId="0" xfId="2" applyNumberFormat="1" applyFont="1" applyBorder="1" applyAlignment="1">
      <alignment horizontal="center"/>
    </xf>
    <xf numFmtId="174" fontId="170" fillId="0" borderId="0" xfId="2" applyNumberFormat="1" applyFont="1" applyBorder="1" applyAlignment="1"/>
    <xf numFmtId="164" fontId="170" fillId="0" borderId="0" xfId="1940" applyNumberFormat="1" applyFont="1" applyAlignment="1"/>
    <xf numFmtId="0" fontId="171" fillId="0" borderId="0" xfId="2" applyFont="1" applyBorder="1" applyAlignment="1"/>
    <xf numFmtId="170" fontId="171" fillId="0" borderId="0" xfId="1" applyNumberFormat="1" applyFont="1" applyAlignment="1">
      <alignment horizontal="center"/>
    </xf>
    <xf numFmtId="166" fontId="171" fillId="0" borderId="0" xfId="2" applyNumberFormat="1" applyFont="1" applyBorder="1"/>
    <xf numFmtId="170" fontId="171" fillId="0" borderId="66" xfId="1" applyNumberFormat="1" applyFont="1" applyBorder="1" applyAlignment="1">
      <alignment horizontal="center"/>
    </xf>
    <xf numFmtId="170" fontId="171" fillId="0" borderId="0" xfId="2" applyNumberFormat="1" applyFont="1" applyBorder="1" applyAlignment="1"/>
    <xf numFmtId="170" fontId="170" fillId="0" borderId="66" xfId="2" applyNumberFormat="1" applyFont="1" applyBorder="1" applyAlignment="1"/>
    <xf numFmtId="166" fontId="170" fillId="0" borderId="0" xfId="2" applyNumberFormat="1" applyFont="1" applyBorder="1" applyAlignment="1"/>
    <xf numFmtId="164" fontId="170" fillId="0" borderId="66" xfId="1940" applyNumberFormat="1" applyFont="1" applyBorder="1" applyAlignment="1"/>
    <xf numFmtId="164" fontId="171" fillId="0" borderId="0" xfId="1940" applyNumberFormat="1" applyFont="1" applyBorder="1" applyAlignment="1"/>
    <xf numFmtId="0" fontId="171" fillId="0" borderId="0" xfId="2" applyNumberFormat="1" applyFont="1" applyBorder="1" applyAlignment="1">
      <alignment horizontal="center"/>
    </xf>
    <xf numFmtId="164" fontId="171" fillId="0" borderId="0" xfId="1940" applyNumberFormat="1" applyFont="1" applyAlignment="1"/>
    <xf numFmtId="170" fontId="171" fillId="0" borderId="66" xfId="2" applyNumberFormat="1" applyFont="1" applyBorder="1" applyAlignment="1"/>
    <xf numFmtId="164" fontId="171" fillId="0" borderId="66" xfId="1940" applyNumberFormat="1" applyFont="1" applyBorder="1" applyAlignment="1"/>
    <xf numFmtId="166" fontId="171" fillId="0" borderId="0" xfId="2" applyNumberFormat="1" applyFont="1" applyBorder="1" applyAlignment="1"/>
    <xf numFmtId="174" fontId="171" fillId="0" borderId="0" xfId="2" applyNumberFormat="1" applyFont="1" applyBorder="1" applyAlignment="1"/>
    <xf numFmtId="169" fontId="171" fillId="0" borderId="0" xfId="2" applyNumberFormat="1" applyFont="1" applyBorder="1" applyAlignment="1"/>
    <xf numFmtId="0" fontId="170" fillId="0" borderId="0" xfId="2" applyNumberFormat="1" applyFont="1" applyBorder="1" applyAlignment="1">
      <alignment horizontal="center"/>
    </xf>
    <xf numFmtId="174" fontId="170" fillId="0" borderId="17" xfId="2" applyNumberFormat="1" applyFont="1" applyBorder="1" applyAlignment="1"/>
    <xf numFmtId="164" fontId="170" fillId="0" borderId="17" xfId="1940" applyNumberFormat="1" applyFont="1" applyBorder="1" applyAlignment="1"/>
    <xf numFmtId="169" fontId="170" fillId="0" borderId="15" xfId="2" applyNumberFormat="1" applyFont="1" applyBorder="1" applyAlignment="1" applyProtection="1">
      <alignment horizontal="right"/>
      <protection locked="0"/>
    </xf>
    <xf numFmtId="0" fontId="171" fillId="0" borderId="15" xfId="2" applyFont="1" applyBorder="1" applyAlignment="1" applyProtection="1">
      <protection locked="0"/>
    </xf>
    <xf numFmtId="0" fontId="170" fillId="0" borderId="0" xfId="2" applyNumberFormat="1" applyFont="1" applyAlignment="1">
      <alignment horizontal="right"/>
    </xf>
    <xf numFmtId="0" fontId="170" fillId="0" borderId="0" xfId="2" quotePrefix="1" applyNumberFormat="1" applyFont="1" applyBorder="1" applyAlignment="1">
      <alignment horizontal="left"/>
    </xf>
    <xf numFmtId="0" fontId="171" fillId="0" borderId="0" xfId="2" applyFont="1" applyAlignment="1"/>
    <xf numFmtId="170" fontId="171" fillId="0" borderId="0" xfId="2" quotePrefix="1" applyNumberFormat="1" applyFont="1" applyBorder="1" applyAlignment="1">
      <alignment horizontal="right"/>
    </xf>
    <xf numFmtId="170" fontId="170" fillId="0" borderId="0" xfId="2" quotePrefix="1" applyNumberFormat="1" applyFont="1" applyAlignment="1">
      <alignment horizontal="right"/>
    </xf>
    <xf numFmtId="170" fontId="171" fillId="0" borderId="0" xfId="2" applyNumberFormat="1" applyFont="1" applyAlignment="1"/>
    <xf numFmtId="170" fontId="171" fillId="0" borderId="0" xfId="2" quotePrefix="1" applyNumberFormat="1" applyFont="1" applyAlignment="1">
      <alignment horizontal="center"/>
    </xf>
    <xf numFmtId="170" fontId="170" fillId="0" borderId="0" xfId="2" quotePrefix="1" applyNumberFormat="1" applyFont="1" applyAlignment="1">
      <alignment horizontal="center"/>
    </xf>
    <xf numFmtId="170" fontId="170" fillId="0" borderId="0" xfId="2" quotePrefix="1" applyNumberFormat="1" applyFont="1" applyBorder="1" applyAlignment="1">
      <alignment horizontal="right"/>
    </xf>
    <xf numFmtId="170" fontId="170" fillId="0" borderId="0" xfId="2" quotePrefix="1" applyNumberFormat="1" applyFont="1" applyBorder="1" applyAlignment="1">
      <alignment horizontal="center"/>
    </xf>
    <xf numFmtId="170" fontId="170" fillId="0" borderId="0" xfId="2" applyNumberFormat="1" applyFont="1" applyAlignment="1">
      <alignment horizontal="right"/>
    </xf>
    <xf numFmtId="170" fontId="170" fillId="0" borderId="70" xfId="2" applyNumberFormat="1" applyFont="1" applyBorder="1" applyAlignment="1"/>
    <xf numFmtId="166" fontId="170" fillId="0" borderId="0" xfId="2" applyNumberFormat="1" applyFont="1" applyBorder="1" applyAlignment="1">
      <alignment horizontal="right"/>
    </xf>
    <xf numFmtId="164" fontId="170" fillId="0" borderId="70" xfId="1940" applyNumberFormat="1" applyFont="1" applyBorder="1" applyAlignment="1"/>
    <xf numFmtId="170" fontId="170" fillId="0" borderId="0" xfId="2" applyNumberFormat="1" applyFont="1" applyBorder="1" applyAlignment="1"/>
    <xf numFmtId="174" fontId="170" fillId="0" borderId="35" xfId="2" applyNumberFormat="1" applyFont="1" applyBorder="1" applyAlignment="1"/>
    <xf numFmtId="164" fontId="170" fillId="0" borderId="35" xfId="1940" applyNumberFormat="1" applyFont="1" applyBorder="1" applyAlignment="1"/>
    <xf numFmtId="166" fontId="172" fillId="0" borderId="0" xfId="2" applyNumberFormat="1" applyFont="1" applyAlignment="1">
      <alignment horizontal="center"/>
    </xf>
    <xf numFmtId="0" fontId="173" fillId="0" borderId="0" xfId="2" applyNumberFormat="1" applyFont="1" applyAlignment="1">
      <alignment horizontal="right"/>
    </xf>
    <xf numFmtId="0" fontId="170" fillId="0" borderId="0" xfId="2" applyNumberFormat="1" applyFont="1" applyAlignment="1">
      <alignment horizontal="center"/>
    </xf>
    <xf numFmtId="0" fontId="170" fillId="0" borderId="10" xfId="2" applyNumberFormat="1" applyFont="1" applyBorder="1" applyAlignment="1">
      <alignment horizontal="center"/>
    </xf>
    <xf numFmtId="0" fontId="171" fillId="0" borderId="24" xfId="2" applyFont="1" applyBorder="1" applyAlignment="1" applyProtection="1">
      <protection locked="0"/>
    </xf>
    <xf numFmtId="0" fontId="171" fillId="0" borderId="0" xfId="2" applyFont="1" applyAlignment="1" applyProtection="1">
      <protection locked="0"/>
    </xf>
    <xf numFmtId="170" fontId="171" fillId="0" borderId="24" xfId="2" applyNumberFormat="1" applyFont="1" applyBorder="1" applyAlignment="1" applyProtection="1">
      <protection locked="0"/>
    </xf>
    <xf numFmtId="170" fontId="171" fillId="0" borderId="0" xfId="2" applyNumberFormat="1" applyFont="1" applyAlignment="1" applyProtection="1">
      <protection locked="0"/>
    </xf>
    <xf numFmtId="170" fontId="170" fillId="0" borderId="24" xfId="2" applyNumberFormat="1" applyFont="1" applyBorder="1" applyAlignment="1" applyProtection="1">
      <protection locked="0"/>
    </xf>
    <xf numFmtId="170" fontId="170" fillId="0" borderId="21" xfId="2" applyNumberFormat="1" applyFont="1" applyBorder="1" applyAlignment="1" applyProtection="1">
      <protection locked="0"/>
    </xf>
    <xf numFmtId="170" fontId="171" fillId="0" borderId="20" xfId="2" applyNumberFormat="1" applyFont="1" applyBorder="1" applyAlignment="1"/>
    <xf numFmtId="170" fontId="171" fillId="0" borderId="0" xfId="2" applyNumberFormat="1" applyFont="1" applyBorder="1" applyAlignment="1" applyProtection="1">
      <protection locked="0"/>
    </xf>
    <xf numFmtId="170" fontId="171" fillId="0" borderId="24" xfId="2" applyNumberFormat="1" applyFont="1" applyBorder="1" applyAlignment="1" applyProtection="1">
      <alignment horizontal="center"/>
      <protection locked="0"/>
    </xf>
    <xf numFmtId="170" fontId="171" fillId="0" borderId="0" xfId="2" applyNumberFormat="1" applyFont="1" applyAlignment="1" applyProtection="1">
      <alignment horizontal="center"/>
      <protection locked="0"/>
    </xf>
    <xf numFmtId="170" fontId="170" fillId="0" borderId="10" xfId="2" quotePrefix="1" applyNumberFormat="1" applyFont="1" applyBorder="1" applyAlignment="1">
      <alignment horizontal="right"/>
    </xf>
    <xf numFmtId="170" fontId="170" fillId="0" borderId="0" xfId="2" applyNumberFormat="1" applyFont="1" applyBorder="1" applyAlignment="1" applyProtection="1">
      <protection locked="0"/>
    </xf>
    <xf numFmtId="170" fontId="170" fillId="0" borderId="20" xfId="2" quotePrefix="1" applyNumberFormat="1" applyFont="1" applyBorder="1" applyAlignment="1">
      <alignment horizontal="center"/>
    </xf>
    <xf numFmtId="170" fontId="170" fillId="0" borderId="24" xfId="2" applyNumberFormat="1" applyFont="1" applyBorder="1" applyAlignment="1" applyProtection="1">
      <alignment horizontal="right"/>
      <protection locked="0"/>
    </xf>
    <xf numFmtId="170" fontId="170" fillId="0" borderId="0" xfId="2" applyNumberFormat="1" applyFont="1" applyBorder="1" applyAlignment="1" applyProtection="1">
      <alignment horizontal="right"/>
      <protection locked="0"/>
    </xf>
    <xf numFmtId="170" fontId="170" fillId="0" borderId="18" xfId="2" applyNumberFormat="1" applyFont="1" applyBorder="1" applyAlignment="1"/>
    <xf numFmtId="174" fontId="170" fillId="0" borderId="20" xfId="2" applyNumberFormat="1" applyFont="1" applyBorder="1" applyAlignment="1"/>
    <xf numFmtId="174" fontId="170" fillId="0" borderId="18" xfId="2" applyNumberFormat="1" applyFont="1" applyBorder="1" applyAlignment="1"/>
    <xf numFmtId="166" fontId="171" fillId="0" borderId="36" xfId="2" applyNumberFormat="1" applyFont="1" applyBorder="1" applyAlignment="1"/>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170" fontId="0" fillId="0" borderId="0" xfId="2" applyNumberFormat="1" applyFont="1" applyFill="1"/>
    <xf numFmtId="170" fontId="169" fillId="0" borderId="10" xfId="2" applyNumberFormat="1" applyFont="1" applyBorder="1" applyAlignment="1"/>
    <xf numFmtId="170" fontId="44" fillId="0" borderId="45" xfId="4" applyNumberFormat="1" applyFont="1" applyFill="1" applyBorder="1"/>
    <xf numFmtId="0" fontId="44" fillId="0" borderId="10" xfId="2" applyFont="1" applyFill="1" applyBorder="1" applyAlignment="1">
      <alignment horizontal="center"/>
    </xf>
    <xf numFmtId="37" fontId="131"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3" fillId="0" borderId="0" xfId="2" applyNumberFormat="1" applyFont="1" applyBorder="1"/>
    <xf numFmtId="37" fontId="66" fillId="0" borderId="0" xfId="2" applyNumberFormat="1" applyFont="1" applyBorder="1" applyAlignment="1"/>
    <xf numFmtId="37" fontId="134" fillId="0" borderId="0" xfId="2" applyNumberFormat="1" applyFont="1" applyBorder="1" applyAlignment="1"/>
    <xf numFmtId="37" fontId="67" fillId="0" borderId="0" xfId="2" applyNumberFormat="1" applyFont="1" applyFill="1" applyBorder="1" applyAlignment="1">
      <alignment horizontal="center"/>
    </xf>
    <xf numFmtId="37" fontId="67"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6" xfId="2" applyNumberFormat="1" applyFont="1" applyBorder="1" applyAlignment="1"/>
    <xf numFmtId="37" fontId="44" fillId="0" borderId="66" xfId="2" applyNumberFormat="1" applyFont="1" applyBorder="1" applyAlignment="1">
      <alignment horizontal="centerContinuous"/>
    </xf>
    <xf numFmtId="166" fontId="56" fillId="0" borderId="66" xfId="0" applyNumberFormat="1" applyFont="1" applyFill="1" applyBorder="1" applyAlignment="1"/>
    <xf numFmtId="165" fontId="40" fillId="0" borderId="66" xfId="0" applyNumberFormat="1" applyFont="1" applyFill="1" applyBorder="1" applyAlignment="1"/>
    <xf numFmtId="174" fontId="59" fillId="0" borderId="28" xfId="0" applyNumberFormat="1" applyFont="1" applyFill="1" applyBorder="1" applyAlignment="1"/>
    <xf numFmtId="166" fontId="61" fillId="0" borderId="0" xfId="0" applyNumberFormat="1" applyFont="1" applyFill="1" applyBorder="1" applyAlignment="1"/>
    <xf numFmtId="166" fontId="37" fillId="0" borderId="0" xfId="0" applyNumberFormat="1" applyFont="1" applyBorder="1" applyAlignment="1">
      <alignment horizontal="left"/>
    </xf>
    <xf numFmtId="169" fontId="37" fillId="0" borderId="0" xfId="2" applyNumberFormat="1" applyFont="1" applyBorder="1" applyAlignment="1"/>
    <xf numFmtId="174" fontId="0" fillId="0" borderId="0" xfId="2" applyNumberFormat="1" applyFont="1" applyBorder="1"/>
    <xf numFmtId="0" fontId="44" fillId="0" borderId="10" xfId="2" applyFont="1" applyFill="1" applyBorder="1" applyAlignment="1">
      <alignment horizontal="center"/>
    </xf>
    <xf numFmtId="166" fontId="37" fillId="0" borderId="0" xfId="2" applyNumberFormat="1" applyFont="1" applyAlignment="1">
      <alignment horizontal="left"/>
    </xf>
    <xf numFmtId="39"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0" fontId="37" fillId="0" borderId="0" xfId="2" quotePrefix="1" applyNumberFormat="1" applyFont="1" applyFill="1" applyAlignment="1">
      <alignment horizontal="left"/>
    </xf>
    <xf numFmtId="0" fontId="37" fillId="0" borderId="0" xfId="4" quotePrefix="1" applyFont="1" applyFill="1" applyAlignment="1">
      <alignment horizontal="left"/>
    </xf>
    <xf numFmtId="0" fontId="37" fillId="0" borderId="0" xfId="4" applyFont="1" applyFill="1" applyAlignment="1">
      <alignment horizontal="left"/>
    </xf>
    <xf numFmtId="0" fontId="67" fillId="0" borderId="0" xfId="4" applyFont="1" applyFill="1" applyAlignment="1">
      <alignment horizontal="right"/>
    </xf>
    <xf numFmtId="0" fontId="44" fillId="0" borderId="0" xfId="17" applyNumberFormat="1" applyFont="1" applyAlignment="1" applyProtection="1">
      <alignment horizontal="right"/>
      <protection locked="0"/>
    </xf>
    <xf numFmtId="37" fontId="44" fillId="0" borderId="76"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7" xfId="2" applyNumberFormat="1" applyFont="1" applyBorder="1" applyAlignment="1"/>
    <xf numFmtId="37" fontId="44" fillId="0" borderId="27" xfId="2" applyNumberFormat="1" applyFont="1" applyBorder="1" applyAlignment="1"/>
    <xf numFmtId="37" fontId="44" fillId="0" borderId="78" xfId="2" applyNumberFormat="1" applyFont="1" applyBorder="1" applyAlignment="1">
      <alignment horizontal="center"/>
    </xf>
    <xf numFmtId="37" fontId="44" fillId="0" borderId="66" xfId="2" applyNumberFormat="1" applyFont="1" applyBorder="1" applyAlignment="1">
      <alignment horizontal="center"/>
    </xf>
    <xf numFmtId="174" fontId="37" fillId="0" borderId="21" xfId="2" applyNumberFormat="1" applyFont="1" applyBorder="1" applyAlignment="1"/>
    <xf numFmtId="174" fontId="37" fillId="0" borderId="47" xfId="2" applyNumberFormat="1" applyFont="1" applyBorder="1" applyAlignment="1"/>
    <xf numFmtId="0" fontId="98" fillId="0" borderId="0" xfId="1767" applyFont="1" applyBorder="1"/>
    <xf numFmtId="0" fontId="37" fillId="0" borderId="0" xfId="1767" applyFont="1" applyBorder="1"/>
    <xf numFmtId="0" fontId="14" fillId="0" borderId="0" xfId="841" applyFont="1"/>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8" fillId="0" borderId="0" xfId="1767" applyNumberFormat="1" applyFont="1" applyFill="1" applyAlignment="1" applyProtection="1"/>
    <xf numFmtId="164" fontId="37" fillId="0" borderId="0" xfId="1767" applyNumberFormat="1" applyFont="1" applyFill="1" applyAlignment="1" applyProtection="1"/>
    <xf numFmtId="164" fontId="98" fillId="0" borderId="0" xfId="1767" applyNumberFormat="1" applyFont="1" applyFill="1" applyAlignment="1" applyProtection="1"/>
    <xf numFmtId="7" fontId="44" fillId="0" borderId="0" xfId="1767" applyNumberFormat="1" applyFont="1" applyFill="1" applyAlignment="1" applyProtection="1">
      <alignment horizontal="right"/>
      <protection locked="0"/>
    </xf>
    <xf numFmtId="0" fontId="14" fillId="0" borderId="0" xfId="841" applyFont="1" applyBorder="1"/>
    <xf numFmtId="4" fontId="42" fillId="0" borderId="0" xfId="1767" applyNumberFormat="1" applyFont="1" applyFill="1" applyAlignment="1">
      <alignment horizontal="right"/>
    </xf>
    <xf numFmtId="4" fontId="42" fillId="0" borderId="0" xfId="1767" applyNumberFormat="1" applyFont="1" applyFill="1" applyBorder="1" applyAlignment="1">
      <alignment horizontal="right"/>
    </xf>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2" fillId="0" borderId="0" xfId="1776" applyNumberFormat="1" applyFont="1" applyFill="1" applyAlignment="1">
      <alignment horizontal="left"/>
    </xf>
    <xf numFmtId="39" fontId="62" fillId="0" borderId="0" xfId="1776" applyNumberFormat="1" applyFont="1" applyFill="1"/>
    <xf numFmtId="0" fontId="62" fillId="0" borderId="0" xfId="1776" applyFont="1" applyFill="1"/>
    <xf numFmtId="0" fontId="37" fillId="0" borderId="0" xfId="1776" applyFont="1" applyFill="1" applyBorder="1" applyAlignment="1">
      <alignment horizontal="left"/>
    </xf>
    <xf numFmtId="39" fontId="62" fillId="0" borderId="0" xfId="1776" applyNumberFormat="1" applyFont="1" applyFill="1" applyBorder="1"/>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0" xfId="1776" applyNumberFormat="1" applyFont="1" applyFill="1" applyAlignment="1">
      <alignment horizontal="center"/>
    </xf>
    <xf numFmtId="39" fontId="37" fillId="0" borderId="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0" xfId="1776" applyNumberFormat="1" applyFont="1" applyFill="1" applyBorder="1" applyAlignment="1"/>
    <xf numFmtId="0" fontId="44" fillId="0" borderId="0" xfId="1776" applyNumberFormat="1" applyFont="1" applyFill="1" applyAlignment="1">
      <alignment horizontal="left"/>
    </xf>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43" fontId="37" fillId="0" borderId="0" xfId="1776" applyNumberFormat="1" applyFont="1" applyFill="1" applyBorder="1" applyAlignment="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3"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44" fillId="0" borderId="0" xfId="1776" applyNumberFormat="1" applyFont="1" applyAlignment="1">
      <alignment horizontal="left"/>
    </xf>
    <xf numFmtId="39" fontId="37" fillId="0" borderId="0" xfId="1776" applyNumberFormat="1" applyFont="1" applyBorder="1" applyAlignment="1"/>
    <xf numFmtId="0" fontId="52" fillId="0" borderId="0" xfId="1776" applyNumberFormat="1" applyFont="1" applyAlignment="1">
      <alignment horizontal="left"/>
    </xf>
    <xf numFmtId="165" fontId="89" fillId="0" borderId="0" xfId="1776" applyNumberFormat="1" applyFont="1" applyAlignment="1"/>
    <xf numFmtId="39" fontId="89"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18" xfId="1776" applyNumberFormat="1" applyFont="1" applyBorder="1" applyAlignment="1"/>
    <xf numFmtId="43" fontId="44" fillId="0" borderId="0" xfId="1776" applyNumberFormat="1" applyFont="1" applyAlignment="1"/>
    <xf numFmtId="43" fontId="44" fillId="0" borderId="21"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3"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0"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0" xfId="840" applyNumberFormat="1" applyFont="1" applyBorder="1" applyAlignment="1"/>
    <xf numFmtId="40" fontId="37" fillId="0" borderId="0" xfId="840" applyNumberFormat="1" applyFont="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0"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Border="1" applyAlignment="1">
      <alignment horizontal="center"/>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Border="1" applyAlignment="1">
      <alignment horizontal="center"/>
    </xf>
    <xf numFmtId="41" fontId="37" fillId="0" borderId="0" xfId="840" quotePrefix="1" applyNumberFormat="1" applyFont="1" applyBorder="1" applyAlignment="1">
      <alignment horizontal="right"/>
    </xf>
    <xf numFmtId="41" fontId="44" fillId="0" borderId="66" xfId="840" applyNumberFormat="1" applyFont="1" applyBorder="1" applyAlignment="1"/>
    <xf numFmtId="190"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174" fontId="37" fillId="0" borderId="0" xfId="17" applyNumberFormat="1" applyFont="1" applyAlignment="1">
      <alignment horizontal="right"/>
    </xf>
    <xf numFmtId="174" fontId="37" fillId="0" borderId="0" xfId="17" applyNumberFormat="1" applyFont="1" applyFill="1" applyAlignment="1"/>
    <xf numFmtId="180" fontId="37" fillId="0" borderId="0" xfId="17" applyNumberFormat="1" applyFont="1" applyAlignment="1"/>
    <xf numFmtId="180" fontId="37" fillId="0" borderId="0" xfId="17" applyNumberFormat="1" applyFont="1" applyAlignment="1">
      <alignment horizontal="right"/>
    </xf>
    <xf numFmtId="180" fontId="37" fillId="0" borderId="0" xfId="17" applyNumberFormat="1" applyFont="1" applyFill="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protection locked="0"/>
    </xf>
    <xf numFmtId="170" fontId="37" fillId="0" borderId="0" xfId="17" applyNumberFormat="1" applyFont="1" applyBorder="1" applyAlignment="1" applyProtection="1">
      <alignment horizontal="right"/>
    </xf>
    <xf numFmtId="187" fontId="37" fillId="0" borderId="0" xfId="17" applyNumberFormat="1" applyFont="1" applyAlignment="1"/>
    <xf numFmtId="0" fontId="49" fillId="0" borderId="0" xfId="1798" applyFont="1" applyAlignment="1">
      <alignment horizontal="left"/>
    </xf>
    <xf numFmtId="0" fontId="98" fillId="0" borderId="0" xfId="1798" applyFont="1"/>
    <xf numFmtId="0" fontId="49" fillId="0" borderId="0" xfId="1798" applyFont="1"/>
    <xf numFmtId="188" fontId="49" fillId="0" borderId="0" xfId="1798" applyNumberFormat="1" applyFont="1" applyBorder="1" applyAlignment="1"/>
    <xf numFmtId="188"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8" fillId="0" borderId="0" xfId="1798" applyFont="1" applyBorder="1"/>
    <xf numFmtId="3" fontId="49" fillId="0" borderId="0" xfId="1798" quotePrefix="1" applyNumberFormat="1" applyFont="1" applyBorder="1" applyAlignment="1">
      <alignment horizontal="center"/>
    </xf>
    <xf numFmtId="188" fontId="49" fillId="0" borderId="0" xfId="1798" applyNumberFormat="1" applyFont="1" applyBorder="1"/>
    <xf numFmtId="164" fontId="37" fillId="0" borderId="66" xfId="0" applyNumberFormat="1" applyFont="1" applyBorder="1" applyAlignment="1" applyProtection="1">
      <protection locked="0"/>
    </xf>
    <xf numFmtId="0" fontId="0" fillId="0" borderId="0" xfId="2" applyFont="1" applyBorder="1" applyAlignment="1">
      <alignment horizontal="right"/>
    </xf>
    <xf numFmtId="0" fontId="44" fillId="0" borderId="0" xfId="2" applyNumberFormat="1" applyFont="1" applyAlignment="1">
      <alignment horizontal="left"/>
    </xf>
    <xf numFmtId="174" fontId="42" fillId="0" borderId="0" xfId="4" applyNumberFormat="1" applyFont="1" applyFill="1"/>
    <xf numFmtId="0" fontId="114" fillId="0" borderId="0" xfId="1798" applyFont="1" applyAlignment="1">
      <alignment horizontal="center"/>
    </xf>
    <xf numFmtId="0" fontId="114" fillId="0" borderId="0" xfId="1798" applyFont="1" applyAlignment="1">
      <alignment horizontal="right"/>
    </xf>
    <xf numFmtId="172" fontId="171" fillId="0" borderId="66" xfId="1940" applyNumberFormat="1" applyFont="1" applyBorder="1" applyAlignment="1"/>
    <xf numFmtId="165" fontId="64" fillId="0" borderId="0" xfId="2" applyNumberFormat="1" applyFont="1" applyAlignment="1">
      <alignment horizontal="center"/>
    </xf>
    <xf numFmtId="195" fontId="37" fillId="0" borderId="0" xfId="2" applyNumberFormat="1" applyFont="1" applyFill="1" applyAlignment="1" applyProtection="1">
      <protection locked="0"/>
    </xf>
    <xf numFmtId="39" fontId="67" fillId="0" borderId="0" xfId="1776" applyNumberFormat="1" applyFont="1" applyBorder="1" applyAlignment="1">
      <alignment horizontal="right" vertical="top"/>
    </xf>
    <xf numFmtId="0" fontId="67"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7"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7" fillId="0" borderId="0" xfId="1776" applyNumberFormat="1" applyFont="1" applyFill="1" applyBorder="1" applyAlignment="1">
      <alignment horizontal="right" vertical="top"/>
    </xf>
    <xf numFmtId="39" fontId="44" fillId="0" borderId="0" xfId="1776" applyNumberFormat="1" applyFont="1" applyFill="1" applyBorder="1" applyAlignment="1">
      <alignment horizontal="right" vertical="top"/>
    </xf>
    <xf numFmtId="0" fontId="62" fillId="0" borderId="0" xfId="1776" applyNumberFormat="1" applyFont="1" applyFill="1" applyAlignment="1">
      <alignment horizontal="left"/>
    </xf>
    <xf numFmtId="0" fontId="37" fillId="0" borderId="0" xfId="1776" applyNumberFormat="1" applyFont="1" applyFill="1" applyBorder="1" applyAlignment="1">
      <alignment horizontal="center"/>
    </xf>
    <xf numFmtId="0" fontId="85" fillId="0" borderId="0" xfId="841" applyFont="1" applyAlignment="1">
      <alignment horizontal="right"/>
    </xf>
    <xf numFmtId="39" fontId="43" fillId="0" borderId="0" xfId="1028" applyNumberFormat="1" applyFont="1" applyAlignment="1"/>
    <xf numFmtId="170" fontId="49" fillId="0" borderId="0" xfId="2" applyNumberFormat="1" applyFont="1" applyAlignment="1"/>
    <xf numFmtId="0" fontId="66" fillId="0" borderId="0" xfId="0" applyNumberFormat="1" applyFont="1" applyAlignment="1"/>
    <xf numFmtId="165" fontId="64" fillId="0" borderId="0" xfId="0" applyNumberFormat="1" applyFont="1" applyAlignment="1"/>
    <xf numFmtId="165" fontId="66" fillId="0" borderId="0" xfId="0" applyNumberFormat="1" applyFont="1" applyAlignment="1"/>
    <xf numFmtId="165" fontId="64" fillId="0" borderId="0" xfId="0" quotePrefix="1" applyNumberFormat="1" applyFont="1" applyBorder="1" applyAlignment="1">
      <alignment horizontal="center"/>
    </xf>
    <xf numFmtId="165" fontId="64" fillId="0" borderId="0" xfId="0" applyNumberFormat="1" applyFont="1" applyBorder="1" applyAlignment="1"/>
    <xf numFmtId="174" fontId="37" fillId="0" borderId="0" xfId="0" applyNumberFormat="1" applyFont="1" applyAlignment="1" applyProtection="1"/>
    <xf numFmtId="0" fontId="37" fillId="0" borderId="0" xfId="0" quotePrefix="1" applyNumberFormat="1" applyFont="1" applyAlignment="1">
      <alignment horizontal="center"/>
    </xf>
    <xf numFmtId="170" fontId="37" fillId="0" borderId="0" xfId="0" quotePrefix="1" applyNumberFormat="1" applyFont="1" applyBorder="1" applyAlignment="1" applyProtection="1">
      <alignment horizontal="center"/>
    </xf>
    <xf numFmtId="170" fontId="44" fillId="0" borderId="0" xfId="0" applyNumberFormat="1" applyFont="1" applyAlignment="1" applyProtection="1"/>
    <xf numFmtId="165" fontId="65" fillId="0" borderId="0" xfId="0" applyNumberFormat="1" applyFont="1" applyAlignment="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70" fontId="37" fillId="0" borderId="0" xfId="0" quotePrefix="1" applyNumberFormat="1" applyFont="1" applyAlignment="1" applyProtection="1"/>
    <xf numFmtId="172" fontId="39" fillId="0" borderId="0" xfId="0" applyNumberFormat="1" applyFont="1" applyBorder="1" applyAlignment="1" applyProtection="1">
      <protection locked="0"/>
    </xf>
    <xf numFmtId="166" fontId="44" fillId="0" borderId="66" xfId="0" applyNumberFormat="1" applyFont="1" applyFill="1" applyBorder="1" applyAlignment="1">
      <alignment horizontal="center"/>
    </xf>
    <xf numFmtId="172" fontId="170" fillId="0" borderId="0" xfId="1940" applyNumberFormat="1" applyFont="1" applyAlignment="1"/>
    <xf numFmtId="174" fontId="44" fillId="0" borderId="35" xfId="2" quotePrefix="1" applyNumberFormat="1" applyFont="1" applyBorder="1" applyAlignment="1"/>
    <xf numFmtId="10" fontId="42" fillId="0" borderId="0" xfId="2" applyNumberFormat="1" applyFont="1" applyAlignment="1"/>
    <xf numFmtId="0" fontId="174" fillId="0" borderId="0" xfId="861" applyNumberFormat="1" applyFont="1" applyAlignment="1" applyProtection="1"/>
    <xf numFmtId="0" fontId="174" fillId="0" borderId="0" xfId="860" applyNumberFormat="1" applyFont="1" applyAlignment="1"/>
    <xf numFmtId="0" fontId="175" fillId="0" borderId="0" xfId="860" applyNumberFormat="1" applyFont="1" applyAlignment="1"/>
    <xf numFmtId="0" fontId="174" fillId="0" borderId="0" xfId="861" quotePrefix="1" applyNumberFormat="1" applyFont="1" applyBorder="1" applyAlignment="1" applyProtection="1">
      <alignment horizontal="left"/>
    </xf>
    <xf numFmtId="0" fontId="174" fillId="0" borderId="0" xfId="861" applyNumberFormat="1" applyFont="1" applyBorder="1" applyAlignment="1" applyProtection="1"/>
    <xf numFmtId="0" fontId="148" fillId="0" borderId="0" xfId="861" applyNumberFormat="1" applyAlignment="1" applyProtection="1"/>
    <xf numFmtId="170" fontId="37" fillId="0" borderId="47" xfId="2" applyNumberFormat="1" applyFont="1" applyBorder="1" applyAlignment="1"/>
    <xf numFmtId="0" fontId="39" fillId="0" borderId="79" xfId="4" applyFont="1" applyFill="1" applyBorder="1"/>
    <xf numFmtId="0" fontId="44" fillId="0" borderId="0" xfId="2" applyNumberFormat="1" applyFont="1" applyAlignment="1">
      <alignment horizontal="left"/>
    </xf>
    <xf numFmtId="0" fontId="44" fillId="0" borderId="0" xfId="2" applyNumberFormat="1" applyFont="1" applyAlignment="1">
      <alignment horizontal="left"/>
    </xf>
    <xf numFmtId="174" fontId="166" fillId="0" borderId="0" xfId="2" applyNumberFormat="1" applyFont="1" applyFill="1" applyBorder="1"/>
    <xf numFmtId="174" fontId="167" fillId="0" borderId="15" xfId="2" applyNumberFormat="1" applyFont="1" applyFill="1" applyBorder="1"/>
    <xf numFmtId="177" fontId="42" fillId="0" borderId="0" xfId="0" applyNumberFormat="1" applyFont="1" applyFill="1" applyBorder="1" applyAlignment="1" applyProtection="1">
      <alignment horizontal="center"/>
    </xf>
    <xf numFmtId="177" fontId="37" fillId="0" borderId="0" xfId="0" applyNumberFormat="1" applyFont="1" applyFill="1" applyBorder="1" applyAlignment="1" applyProtection="1">
      <alignment horizontal="center" vertical="top"/>
    </xf>
    <xf numFmtId="164" fontId="37" fillId="0" borderId="0" xfId="1940" applyNumberFormat="1" applyFont="1" applyAlignment="1"/>
    <xf numFmtId="164" fontId="44" fillId="0" borderId="66"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64" fontId="37" fillId="0" borderId="0" xfId="2" applyNumberFormat="1" applyFont="1" applyAlignment="1" applyProtection="1">
      <protection locked="0"/>
    </xf>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0" fontId="37" fillId="0" borderId="0" xfId="2"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170" fontId="37" fillId="0" borderId="66" xfId="2" quotePrefix="1" applyNumberFormat="1" applyFont="1" applyBorder="1" applyAlignment="1">
      <alignment horizontal="center"/>
    </xf>
    <xf numFmtId="170" fontId="37" fillId="0" borderId="10" xfId="2" quotePrefix="1" applyNumberFormat="1" applyFont="1" applyBorder="1" applyAlignment="1">
      <alignment horizontal="center"/>
    </xf>
    <xf numFmtId="170" fontId="37" fillId="0" borderId="31" xfId="2" applyNumberFormat="1" applyFont="1" applyBorder="1" applyAlignment="1"/>
    <xf numFmtId="0" fontId="37" fillId="0" borderId="0" xfId="2" quotePrefix="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64" fontId="37" fillId="0" borderId="19" xfId="2" applyNumberFormat="1" applyFont="1" applyBorder="1" applyAlignment="1"/>
    <xf numFmtId="169" fontId="43" fillId="0" borderId="0" xfId="2" applyNumberFormat="1" applyFont="1" applyBorder="1" applyAlignment="1"/>
    <xf numFmtId="170" fontId="37" fillId="0" borderId="10" xfId="2" applyNumberFormat="1" applyFont="1" applyBorder="1" applyAlignment="1"/>
    <xf numFmtId="170" fontId="43" fillId="0" borderId="0" xfId="2" applyNumberFormat="1" applyFont="1" applyBorder="1" applyAlignment="1"/>
    <xf numFmtId="164" fontId="37" fillId="0" borderId="16" xfId="0" applyNumberFormat="1" applyFont="1" applyBorder="1" applyProtection="1">
      <protection locked="0"/>
    </xf>
    <xf numFmtId="172" fontId="37" fillId="0" borderId="0" xfId="2" applyNumberFormat="1" applyFont="1" applyAlignment="1"/>
    <xf numFmtId="170" fontId="37" fillId="0" borderId="19" xfId="2" applyNumberFormat="1" applyFont="1" applyBorder="1" applyAlignment="1">
      <alignment horizontal="right"/>
    </xf>
    <xf numFmtId="165" fontId="37" fillId="0" borderId="0" xfId="2" applyNumberFormat="1" applyFont="1" applyAlignment="1">
      <alignment horizontal="right"/>
    </xf>
    <xf numFmtId="172" fontId="44" fillId="0" borderId="66" xfId="0" applyNumberFormat="1" applyFont="1" applyBorder="1" applyAlignment="1" applyProtection="1">
      <protection locked="0"/>
    </xf>
    <xf numFmtId="164" fontId="62" fillId="0" borderId="0" xfId="1940" applyNumberFormat="1" applyFont="1" applyAlignment="1"/>
    <xf numFmtId="170" fontId="67" fillId="0" borderId="66" xfId="2" applyNumberFormat="1" applyFont="1" applyBorder="1" applyAlignment="1"/>
    <xf numFmtId="170" fontId="62" fillId="0" borderId="66" xfId="2" applyNumberFormat="1" applyFont="1" applyBorder="1" applyAlignment="1"/>
    <xf numFmtId="164" fontId="37" fillId="0" borderId="66" xfId="1940"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170" fontId="37" fillId="0" borderId="13" xfId="1" applyNumberFormat="1" applyFont="1" applyFill="1" applyBorder="1" applyAlignment="1"/>
    <xf numFmtId="170" fontId="37" fillId="0" borderId="0" xfId="1" applyNumberFormat="1" applyFont="1" applyFill="1" applyBorder="1" applyAlignment="1"/>
    <xf numFmtId="170" fontId="37" fillId="0" borderId="0" xfId="1" applyNumberFormat="1" applyFont="1" applyFill="1" applyAlignment="1">
      <alignment horizontal="right"/>
    </xf>
    <xf numFmtId="170" fontId="37" fillId="0" borderId="15" xfId="1" applyNumberFormat="1" applyFont="1" applyFill="1" applyBorder="1" applyAlignment="1">
      <alignment horizontal="right"/>
    </xf>
    <xf numFmtId="172" fontId="37" fillId="0" borderId="0" xfId="0" applyNumberFormat="1" applyFont="1" applyBorder="1" applyAlignment="1" applyProtection="1">
      <protection locked="0"/>
    </xf>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6"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0"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64" fontId="44" fillId="0" borderId="66" xfId="2" applyNumberFormat="1" applyFont="1" applyBorder="1" applyAlignment="1" applyProtection="1"/>
    <xf numFmtId="164" fontId="44" fillId="0" borderId="80"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60" fillId="0" borderId="0" xfId="2" applyNumberFormat="1" applyFont="1" applyAlignment="1" applyProtection="1"/>
    <xf numFmtId="166" fontId="60" fillId="0" borderId="0" xfId="2" applyNumberFormat="1" applyFont="1" applyAlignment="1" applyProtection="1"/>
    <xf numFmtId="164" fontId="37" fillId="0" borderId="66"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72" fontId="37" fillId="0" borderId="0" xfId="2" applyNumberFormat="1" applyFont="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6"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6"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6" xfId="0" applyNumberFormat="1" applyFont="1" applyBorder="1" applyAlignment="1" applyProtection="1"/>
    <xf numFmtId="164" fontId="39" fillId="0" borderId="0" xfId="4" applyNumberFormat="1" applyFont="1" applyFill="1" applyProtection="1"/>
    <xf numFmtId="0" fontId="39" fillId="0" borderId="0" xfId="4"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72" fontId="44" fillId="0" borderId="66"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71" fillId="0" borderId="0" xfId="2" applyNumberFormat="1" applyFont="1" applyAlignment="1" applyProtection="1"/>
    <xf numFmtId="0" fontId="37" fillId="0" borderId="0" xfId="1028" quotePrefix="1" applyNumberFormat="1" applyFont="1" applyAlignment="1">
      <alignment horizontal="center"/>
    </xf>
    <xf numFmtId="0" fontId="37" fillId="0" borderId="0" xfId="1028" quotePrefix="1" applyNumberFormat="1" applyFont="1" applyFill="1" applyBorder="1" applyAlignment="1">
      <alignment horizontal="center"/>
    </xf>
    <xf numFmtId="0" fontId="37" fillId="0" borderId="0" xfId="1028" quotePrefix="1" applyNumberFormat="1" applyFont="1" applyFill="1" applyAlignment="1">
      <alignment horizontal="center"/>
    </xf>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2" fillId="0" borderId="0" xfId="0" applyNumberFormat="1" applyFont="1" applyProtection="1"/>
    <xf numFmtId="0" fontId="67" fillId="0" borderId="0" xfId="2" applyNumberFormat="1" applyFont="1" applyFill="1" applyAlignment="1" applyProtection="1">
      <alignment horizontal="left"/>
    </xf>
    <xf numFmtId="0" fontId="67"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65" fontId="0" fillId="0" borderId="0" xfId="2" quotePrefix="1" applyNumberFormat="1" applyFont="1" applyAlignment="1">
      <alignment horizontal="left"/>
    </xf>
    <xf numFmtId="172" fontId="170" fillId="0" borderId="35" xfId="1940" applyNumberFormat="1" applyFont="1" applyBorder="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3" xfId="2" applyNumberFormat="1" applyFont="1" applyFill="1" applyBorder="1" applyAlignment="1"/>
    <xf numFmtId="170" fontId="39" fillId="0" borderId="83" xfId="2" applyNumberFormat="1" applyFont="1" applyBorder="1" applyAlignment="1">
      <alignment horizontal="center"/>
    </xf>
    <xf numFmtId="0" fontId="166" fillId="0" borderId="0" xfId="2" applyNumberFormat="1" applyFont="1" applyAlignment="1"/>
    <xf numFmtId="0" fontId="37" fillId="0" borderId="0" xfId="1776" applyFont="1" applyAlignment="1"/>
    <xf numFmtId="0" fontId="37" fillId="0" borderId="0" xfId="1776" applyFill="1" applyAlignment="1"/>
    <xf numFmtId="170" fontId="37" fillId="0" borderId="83" xfId="2" applyNumberFormat="1" applyFont="1" applyFill="1" applyBorder="1" applyAlignment="1"/>
    <xf numFmtId="170" fontId="39" fillId="0" borderId="83" xfId="4" applyNumberFormat="1" applyFont="1" applyFill="1" applyBorder="1"/>
    <xf numFmtId="170" fontId="37" fillId="0" borderId="66"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197" fontId="64" fillId="0" borderId="0" xfId="2" applyNumberFormat="1" applyFont="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172" fontId="44" fillId="0" borderId="0" xfId="0" applyNumberFormat="1" applyFont="1" applyBorder="1" applyAlignment="1" applyProtection="1"/>
    <xf numFmtId="172" fontId="44" fillId="0" borderId="0" xfId="0" applyNumberFormat="1" applyFont="1" applyBorder="1" applyAlignment="1" applyProtection="1">
      <protection locked="0"/>
    </xf>
    <xf numFmtId="166" fontId="37" fillId="35" borderId="0" xfId="0" applyNumberFormat="1" applyFont="1" applyFill="1" applyBorder="1" applyAlignment="1">
      <alignment horizontal="left"/>
    </xf>
    <xf numFmtId="41" fontId="49" fillId="0" borderId="0" xfId="1798" applyNumberFormat="1" applyFont="1" applyBorder="1" applyAlignment="1">
      <alignment horizontal="center"/>
    </xf>
    <xf numFmtId="42" fontId="114" fillId="0" borderId="0" xfId="8" applyNumberFormat="1" applyFont="1" applyBorder="1"/>
    <xf numFmtId="0" fontId="140" fillId="0" borderId="0" xfId="8" applyFont="1" applyAlignment="1">
      <alignment horizontal="left"/>
    </xf>
    <xf numFmtId="0" fontId="140" fillId="0" borderId="0" xfId="8" applyFont="1"/>
    <xf numFmtId="0" fontId="37" fillId="0" borderId="0" xfId="8" applyFont="1"/>
    <xf numFmtId="0" fontId="37" fillId="0" borderId="0" xfId="8" applyFont="1" applyAlignment="1"/>
    <xf numFmtId="0" fontId="140"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41" fontId="43" fillId="0" borderId="0" xfId="1773" applyNumberFormat="1" applyFont="1" applyFill="1" applyBorder="1" applyAlignment="1">
      <alignment horizontal="center" wrapText="1"/>
    </xf>
    <xf numFmtId="41" fontId="43" fillId="0" borderId="0" xfId="1773" applyNumberFormat="1" applyFont="1" applyBorder="1" applyAlignment="1">
      <alignment horizontal="center" wrapText="1"/>
    </xf>
    <xf numFmtId="190" fontId="43" fillId="0" borderId="0" xfId="1773" applyNumberFormat="1" applyFont="1" applyBorder="1" applyAlignment="1">
      <alignment horizontal="center" wrapText="1"/>
    </xf>
    <xf numFmtId="190" fontId="42" fillId="0" borderId="0" xfId="1773" applyNumberFormat="1" applyFont="1" applyBorder="1" applyAlignment="1">
      <alignment horizontal="center" wrapText="1"/>
    </xf>
    <xf numFmtId="0" fontId="37" fillId="0" borderId="0" xfId="2" applyFont="1" applyAlignment="1">
      <alignment horizontal="left"/>
    </xf>
    <xf numFmtId="177" fontId="184" fillId="0" borderId="0" xfId="740" applyNumberFormat="1" applyFont="1" applyFill="1" applyAlignment="1"/>
    <xf numFmtId="0" fontId="66" fillId="0" borderId="0" xfId="1776" applyNumberFormat="1" applyFont="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2" fillId="0" borderId="0" xfId="0" applyNumberFormat="1" applyFont="1" applyAlignment="1">
      <alignment horizontal="left"/>
    </xf>
    <xf numFmtId="165" fontId="42" fillId="0" borderId="0" xfId="0" applyNumberFormat="1" applyFont="1" applyAlignment="1">
      <alignment horizontal="centerContinuous"/>
    </xf>
    <xf numFmtId="165" fontId="67" fillId="0" borderId="0" xfId="0" quotePrefix="1" applyNumberFormat="1" applyFont="1" applyAlignment="1">
      <alignment horizontal="left"/>
    </xf>
    <xf numFmtId="165" fontId="37" fillId="0" borderId="0" xfId="0" applyNumberFormat="1" applyFont="1" applyAlignment="1">
      <alignment horizontal="centerContinuous"/>
    </xf>
    <xf numFmtId="165" fontId="44" fillId="0" borderId="0" xfId="0" applyNumberFormat="1" applyFont="1" applyAlignment="1">
      <alignment horizontal="centerContinuous"/>
    </xf>
    <xf numFmtId="165" fontId="67" fillId="0" borderId="0" xfId="0" applyNumberFormat="1" applyFont="1" applyAlignment="1">
      <alignment horizontal="left"/>
    </xf>
    <xf numFmtId="165" fontId="44" fillId="0" borderId="0" xfId="0" applyNumberFormat="1" applyFont="1" applyAlignment="1">
      <alignment horizontal="right"/>
    </xf>
    <xf numFmtId="165" fontId="67" fillId="0" borderId="0" xfId="0" quotePrefix="1" applyNumberFormat="1" applyFont="1" applyAlignment="1">
      <alignment horizontal="right"/>
    </xf>
    <xf numFmtId="165" fontId="44" fillId="0" borderId="0" xfId="0" applyNumberFormat="1" applyFont="1" applyBorder="1" applyAlignment="1">
      <alignment horizontal="centerContinuous"/>
    </xf>
    <xf numFmtId="165" fontId="64" fillId="0" borderId="0" xfId="0" applyNumberFormat="1" applyFont="1" applyAlignment="1">
      <alignment horizontal="centerContinuous"/>
    </xf>
    <xf numFmtId="165" fontId="44" fillId="0" borderId="0" xfId="0" quotePrefix="1" applyNumberFormat="1" applyFont="1" applyAlignment="1">
      <alignment horizontal="centerContinuous"/>
    </xf>
    <xf numFmtId="165" fontId="44" fillId="0" borderId="66" xfId="0" applyNumberFormat="1" applyFont="1" applyBorder="1" applyAlignment="1">
      <alignment horizontal="centerContinuous"/>
    </xf>
    <xf numFmtId="165" fontId="37" fillId="0" borderId="66" xfId="0" applyNumberFormat="1" applyFont="1" applyBorder="1" applyAlignment="1">
      <alignment horizontal="centerContinuous"/>
    </xf>
    <xf numFmtId="165" fontId="44" fillId="0" borderId="66" xfId="0" quotePrefix="1" applyNumberFormat="1" applyFont="1" applyBorder="1" applyAlignment="1"/>
    <xf numFmtId="165" fontId="37" fillId="0" borderId="66" xfId="0" applyNumberFormat="1" applyFont="1" applyBorder="1" applyAlignment="1"/>
    <xf numFmtId="165" fontId="44" fillId="0" borderId="82" xfId="0" applyNumberFormat="1" applyFont="1" applyBorder="1" applyAlignment="1">
      <alignment horizontal="center"/>
    </xf>
    <xf numFmtId="0" fontId="44" fillId="0" borderId="82" xfId="0" applyNumberFormat="1" applyFont="1" applyBorder="1" applyAlignment="1" applyProtection="1">
      <alignment horizontal="center"/>
      <protection locked="0"/>
    </xf>
    <xf numFmtId="165" fontId="44" fillId="0" borderId="82" xfId="0" applyNumberFormat="1" applyFont="1" applyBorder="1" applyAlignment="1" applyProtection="1">
      <alignment horizontal="center"/>
    </xf>
    <xf numFmtId="0" fontId="44" fillId="0" borderId="82" xfId="0" applyNumberFormat="1" applyFont="1" applyBorder="1" applyAlignment="1" applyProtection="1">
      <alignment horizontal="center"/>
    </xf>
    <xf numFmtId="165" fontId="44" fillId="0" borderId="0" xfId="0" applyNumberFormat="1" applyFont="1" applyBorder="1" applyAlignment="1">
      <alignment horizontal="center"/>
    </xf>
    <xf numFmtId="165" fontId="44" fillId="0" borderId="0" xfId="0" applyNumberFormat="1" applyFont="1" applyBorder="1" applyAlignment="1" applyProtection="1">
      <alignment horizontal="center"/>
    </xf>
    <xf numFmtId="165" fontId="44" fillId="0" borderId="84" xfId="0" applyNumberFormat="1" applyFont="1" applyBorder="1" applyAlignment="1">
      <alignment horizontal="center"/>
    </xf>
    <xf numFmtId="165" fontId="44" fillId="0" borderId="82" xfId="0" quotePrefix="1" applyNumberFormat="1" applyFont="1" applyBorder="1" applyAlignment="1">
      <alignment horizontal="center"/>
    </xf>
    <xf numFmtId="0" fontId="44" fillId="0" borderId="82" xfId="0" applyNumberFormat="1" applyFont="1" applyBorder="1" applyAlignment="1">
      <alignment horizontal="center"/>
    </xf>
    <xf numFmtId="0" fontId="44" fillId="0" borderId="0" xfId="0" quotePrefix="1" applyNumberFormat="1" applyFont="1" applyBorder="1" applyAlignment="1" applyProtection="1">
      <alignment horizontal="center"/>
      <protection locked="0"/>
    </xf>
    <xf numFmtId="0" fontId="44" fillId="0" borderId="66"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165" fontId="44" fillId="0" borderId="0" xfId="0" applyNumberFormat="1" applyFont="1" applyAlignment="1">
      <alignment horizontal="center"/>
    </xf>
    <xf numFmtId="0" fontId="44" fillId="0" borderId="0" xfId="0" quotePrefix="1" applyNumberFormat="1" applyFont="1" applyBorder="1" applyAlignment="1" applyProtection="1">
      <alignment horizontal="center"/>
    </xf>
    <xf numFmtId="165" fontId="37" fillId="0" borderId="21" xfId="0" applyNumberFormat="1" applyFont="1" applyBorder="1" applyAlignment="1"/>
    <xf numFmtId="165" fontId="37" fillId="0" borderId="82" xfId="0" applyNumberFormat="1" applyFont="1" applyBorder="1" applyAlignment="1"/>
    <xf numFmtId="165" fontId="37" fillId="0" borderId="14" xfId="0" applyNumberFormat="1" applyFont="1" applyBorder="1" applyAlignment="1"/>
    <xf numFmtId="0" fontId="44" fillId="0" borderId="0" xfId="0" applyNumberFormat="1" applyFont="1" applyAlignment="1"/>
    <xf numFmtId="0" fontId="37" fillId="0" borderId="0" xfId="0" applyNumberFormat="1" applyFont="1" applyAlignment="1"/>
    <xf numFmtId="0" fontId="37" fillId="0" borderId="0" xfId="0" quotePrefix="1" applyNumberFormat="1" applyFont="1" applyAlignment="1">
      <alignment horizontal="left"/>
    </xf>
    <xf numFmtId="170" fontId="37" fillId="0" borderId="0" xfId="0" quotePrefix="1" applyNumberFormat="1" applyFont="1" applyBorder="1" applyAlignment="1"/>
    <xf numFmtId="170" fontId="37" fillId="0" borderId="0" xfId="0" quotePrefix="1" applyNumberFormat="1" applyFont="1" applyBorder="1" applyAlignment="1">
      <alignment horizontal="left"/>
    </xf>
    <xf numFmtId="170" fontId="37" fillId="0" borderId="14" xfId="0" applyNumberFormat="1" applyFont="1" applyBorder="1" applyAlignment="1"/>
    <xf numFmtId="170" fontId="37" fillId="0" borderId="0" xfId="0" quotePrefix="1" applyNumberFormat="1" applyFont="1" applyBorder="1" applyAlignment="1" applyProtection="1"/>
    <xf numFmtId="164" fontId="64" fillId="0" borderId="0" xfId="0" applyNumberFormat="1" applyFont="1" applyAlignment="1" applyProtection="1"/>
    <xf numFmtId="170" fontId="37" fillId="0" borderId="66" xfId="0" quotePrefix="1" applyNumberFormat="1" applyFont="1" applyBorder="1" applyAlignment="1" applyProtection="1"/>
    <xf numFmtId="170" fontId="44" fillId="0" borderId="0" xfId="0" quotePrefix="1" applyNumberFormat="1" applyFont="1" applyBorder="1" applyAlignment="1" applyProtection="1">
      <protection locked="0"/>
    </xf>
    <xf numFmtId="170" fontId="44" fillId="0" borderId="21" xfId="0" applyNumberFormat="1" applyFont="1" applyBorder="1" applyAlignment="1"/>
    <xf numFmtId="170" fontId="44" fillId="0" borderId="82" xfId="0" quotePrefix="1" applyNumberFormat="1" applyFont="1" applyBorder="1" applyAlignment="1"/>
    <xf numFmtId="170" fontId="44" fillId="0" borderId="14" xfId="0" applyNumberFormat="1" applyFont="1" applyBorder="1" applyAlignment="1"/>
    <xf numFmtId="170" fontId="37" fillId="0" borderId="21" xfId="0" applyNumberFormat="1" applyFont="1" applyBorder="1" applyAlignment="1"/>
    <xf numFmtId="164" fontId="64" fillId="0" borderId="66" xfId="0" applyNumberFormat="1" applyFont="1" applyBorder="1" applyAlignment="1" applyProtection="1"/>
    <xf numFmtId="0" fontId="44" fillId="0" borderId="0" xfId="0" quotePrefix="1" applyNumberFormat="1" applyFont="1" applyAlignment="1">
      <alignment horizontal="left"/>
    </xf>
    <xf numFmtId="170" fontId="44" fillId="0" borderId="82" xfId="0" applyNumberFormat="1" applyFont="1" applyBorder="1" applyAlignment="1" applyProtection="1"/>
    <xf numFmtId="170" fontId="44" fillId="0" borderId="86" xfId="0" applyNumberFormat="1" applyFont="1" applyBorder="1" applyAlignment="1" applyProtection="1"/>
    <xf numFmtId="164" fontId="65" fillId="0" borderId="86" xfId="0" applyNumberFormat="1" applyFont="1" applyBorder="1" applyAlignment="1" applyProtection="1"/>
    <xf numFmtId="170" fontId="37" fillId="0" borderId="82" xfId="0" applyNumberFormat="1" applyFont="1" applyBorder="1" applyAlignment="1" applyProtection="1"/>
    <xf numFmtId="170" fontId="37" fillId="0" borderId="82" xfId="0" applyNumberFormat="1" applyFont="1" applyBorder="1" applyAlignment="1"/>
    <xf numFmtId="170" fontId="37" fillId="0" borderId="82" xfId="0" applyNumberFormat="1" applyFont="1" applyBorder="1" applyAlignment="1" applyProtection="1">
      <protection locked="0"/>
    </xf>
    <xf numFmtId="170" fontId="44" fillId="0" borderId="82" xfId="0" applyNumberFormat="1" applyFont="1" applyBorder="1" applyAlignment="1"/>
    <xf numFmtId="170" fontId="44" fillId="0" borderId="86" xfId="0" quotePrefix="1" applyNumberFormat="1" applyFont="1" applyBorder="1" applyAlignment="1" applyProtection="1"/>
    <xf numFmtId="170" fontId="37" fillId="0" borderId="0" xfId="0" quotePrefix="1" applyNumberFormat="1" applyFont="1" applyBorder="1" applyAlignment="1">
      <alignment horizontal="center"/>
    </xf>
    <xf numFmtId="164" fontId="64" fillId="0" borderId="0" xfId="0" quotePrefix="1" applyNumberFormat="1" applyFont="1" applyAlignment="1" applyProtection="1"/>
    <xf numFmtId="170" fontId="44" fillId="0" borderId="82" xfId="0" quotePrefix="1" applyNumberFormat="1" applyFont="1" applyBorder="1" applyAlignment="1" applyProtection="1"/>
    <xf numFmtId="166" fontId="44" fillId="0" borderId="82" xfId="0" applyNumberFormat="1" applyFont="1" applyBorder="1" applyAlignment="1" applyProtection="1"/>
    <xf numFmtId="166" fontId="44" fillId="0" borderId="82" xfId="0" applyNumberFormat="1" applyFont="1" applyBorder="1" applyAlignment="1"/>
    <xf numFmtId="166" fontId="44" fillId="0" borderId="82" xfId="0" applyNumberFormat="1" applyFont="1" applyBorder="1" applyAlignment="1" applyProtection="1">
      <protection locked="0"/>
    </xf>
    <xf numFmtId="165" fontId="44" fillId="0" borderId="21" xfId="0" applyNumberFormat="1" applyFont="1" applyBorder="1" applyAlignment="1"/>
    <xf numFmtId="165" fontId="44" fillId="0" borderId="14" xfId="0" applyNumberFormat="1" applyFont="1" applyBorder="1" applyAlignment="1"/>
    <xf numFmtId="166" fontId="44" fillId="0" borderId="84" xfId="0" applyNumberFormat="1" applyFont="1" applyBorder="1" applyAlignment="1" applyProtection="1"/>
    <xf numFmtId="164" fontId="65" fillId="0" borderId="84" xfId="0" applyNumberFormat="1" applyFont="1" applyBorder="1" applyAlignment="1" applyProtection="1"/>
    <xf numFmtId="174" fontId="44" fillId="0" borderId="81" xfId="0" applyNumberFormat="1" applyFont="1" applyBorder="1" applyAlignment="1" applyProtection="1"/>
    <xf numFmtId="174" fontId="44" fillId="0" borderId="0" xfId="0" applyNumberFormat="1" applyFont="1" applyBorder="1" applyAlignment="1" applyProtection="1">
      <protection locked="0"/>
    </xf>
    <xf numFmtId="174" fontId="44" fillId="0" borderId="0" xfId="0" applyNumberFormat="1" applyFont="1" applyAlignment="1"/>
    <xf numFmtId="174" fontId="44" fillId="0" borderId="26" xfId="0" applyNumberFormat="1" applyFont="1" applyBorder="1" applyAlignment="1"/>
    <xf numFmtId="174" fontId="44" fillId="0" borderId="41" xfId="0" applyNumberFormat="1" applyFont="1" applyBorder="1" applyAlignment="1"/>
    <xf numFmtId="174" fontId="44" fillId="0" borderId="14" xfId="0" applyNumberFormat="1" applyFont="1" applyBorder="1" applyAlignment="1" applyProtection="1">
      <protection locked="0"/>
    </xf>
    <xf numFmtId="174" fontId="44" fillId="0" borderId="17" xfId="0" applyNumberFormat="1" applyFont="1" applyBorder="1" applyAlignment="1" applyProtection="1"/>
    <xf numFmtId="164" fontId="65" fillId="0" borderId="17" xfId="0" applyNumberFormat="1" applyFont="1" applyBorder="1" applyAlignment="1" applyProtection="1"/>
    <xf numFmtId="164" fontId="62" fillId="0" borderId="66" xfId="1940" applyNumberFormat="1" applyFont="1" applyBorder="1" applyAlignment="1"/>
    <xf numFmtId="172" fontId="37" fillId="0" borderId="0" xfId="1940" applyNumberFormat="1" applyFont="1" applyBorder="1" applyAlignment="1" applyProtection="1"/>
    <xf numFmtId="0" fontId="185" fillId="0" borderId="0" xfId="9967"/>
    <xf numFmtId="186" fontId="43" fillId="0" borderId="66"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center"/>
    </xf>
    <xf numFmtId="0" fontId="43" fillId="0" borderId="66" xfId="9967" applyNumberFormat="1" applyFont="1" applyFill="1" applyBorder="1" applyAlignment="1">
      <alignment horizontal="center"/>
    </xf>
    <xf numFmtId="0" fontId="42" fillId="0" borderId="92" xfId="9967" applyNumberFormat="1" applyFont="1" applyFill="1" applyBorder="1"/>
    <xf numFmtId="0" fontId="43" fillId="0" borderId="66"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2" xfId="9967" applyNumberFormat="1" applyFont="1" applyFill="1" applyBorder="1"/>
    <xf numFmtId="0" fontId="43" fillId="0" borderId="0" xfId="9967" quotePrefix="1" applyNumberFormat="1" applyFont="1" applyFill="1" applyAlignment="1">
      <alignment horizontal="center"/>
    </xf>
    <xf numFmtId="0" fontId="43" fillId="0" borderId="66" xfId="9967" quotePrefix="1" applyNumberFormat="1" applyFont="1" applyFill="1" applyBorder="1" applyAlignment="1">
      <alignment horizontal="center"/>
    </xf>
    <xf numFmtId="43" fontId="42" fillId="0" borderId="0" xfId="5497" quotePrefix="1" applyFont="1" applyFill="1" applyAlignment="1">
      <alignment horizontal="right"/>
    </xf>
    <xf numFmtId="170" fontId="37" fillId="0" borderId="0" xfId="0" applyNumberFormat="1" applyFont="1" applyAlignment="1" applyProtection="1">
      <alignment horizontal="right"/>
      <protection locked="0"/>
    </xf>
    <xf numFmtId="170" fontId="37" fillId="0" borderId="0" xfId="2" applyNumberFormat="1" applyFont="1" applyAlignment="1"/>
    <xf numFmtId="170" fontId="44" fillId="0" borderId="0" xfId="2" applyNumberFormat="1" applyFont="1" applyBorder="1" applyAlignment="1"/>
    <xf numFmtId="166" fontId="60" fillId="0" borderId="0" xfId="2" applyNumberFormat="1" applyFont="1" applyAlignment="1"/>
    <xf numFmtId="0" fontId="67" fillId="0" borderId="0" xfId="2" quotePrefix="1" applyNumberFormat="1" applyFont="1" applyAlignment="1">
      <alignment horizontal="left"/>
    </xf>
    <xf numFmtId="0" fontId="38" fillId="0" borderId="0" xfId="2" quotePrefix="1" applyNumberFormat="1" applyFont="1" applyAlignment="1">
      <alignment horizontal="left"/>
    </xf>
    <xf numFmtId="0" fontId="37" fillId="0" borderId="0" xfId="5517" applyFont="1" applyFill="1"/>
    <xf numFmtId="166" fontId="37" fillId="0" borderId="0" xfId="5517" applyNumberFormat="1" applyFont="1" applyFill="1"/>
    <xf numFmtId="170" fontId="37" fillId="0" borderId="0" xfId="5517" applyNumberFormat="1" applyFont="1" applyFill="1"/>
    <xf numFmtId="170" fontId="37" fillId="0" borderId="0" xfId="5517" applyNumberFormat="1" applyFont="1" applyFill="1" applyBorder="1"/>
    <xf numFmtId="170" fontId="37" fillId="0" borderId="0" xfId="1046" applyNumberFormat="1" applyFont="1" applyFill="1"/>
    <xf numFmtId="186" fontId="43" fillId="0" borderId="68" xfId="860" quotePrefix="1" applyNumberFormat="1" applyFont="1" applyBorder="1" applyAlignment="1">
      <alignment horizontal="centerContinuous"/>
    </xf>
    <xf numFmtId="170" fontId="37" fillId="0" borderId="0" xfId="0" quotePrefix="1" applyNumberFormat="1" applyFont="1" applyAlignment="1" applyProtection="1">
      <alignment horizontal="right"/>
      <protection locked="0"/>
    </xf>
    <xf numFmtId="170" fontId="44" fillId="0" borderId="45" xfId="2" applyNumberFormat="1" applyFont="1" applyFill="1" applyBorder="1" applyAlignment="1"/>
    <xf numFmtId="170" fontId="37" fillId="0" borderId="0" xfId="2" quotePrefix="1" applyNumberFormat="1" applyFont="1" applyFill="1" applyAlignment="1"/>
    <xf numFmtId="0" fontId="149" fillId="0" borderId="0" xfId="1028" quotePrefix="1" applyNumberFormat="1" applyFont="1" applyFill="1" applyAlignment="1">
      <alignment horizontal="right"/>
    </xf>
    <xf numFmtId="4" fontId="44" fillId="0" borderId="0" xfId="1028" quotePrefix="1" applyNumberFormat="1" applyFont="1" applyFill="1" applyBorder="1" applyAlignment="1">
      <alignment horizontal="left"/>
    </xf>
    <xf numFmtId="4" fontId="44" fillId="0" borderId="0" xfId="0" applyNumberFormat="1" applyFont="1" applyFill="1" applyAlignment="1">
      <alignment horizontal="left"/>
    </xf>
    <xf numFmtId="164" fontId="37" fillId="0" borderId="0" xfId="0" applyFont="1" applyFill="1" applyBorder="1"/>
    <xf numFmtId="0" fontId="44" fillId="0" borderId="0" xfId="2" applyNumberFormat="1" applyFont="1" applyAlignment="1">
      <alignment horizontal="left"/>
    </xf>
    <xf numFmtId="170" fontId="44" fillId="0" borderId="94" xfId="2" applyNumberFormat="1" applyFont="1" applyBorder="1" applyAlignment="1"/>
    <xf numFmtId="37" fontId="186" fillId="0" borderId="0" xfId="2" applyNumberFormat="1" applyFont="1" applyBorder="1" applyAlignment="1"/>
    <xf numFmtId="174" fontId="186" fillId="0" borderId="0" xfId="2" applyNumberFormat="1" applyFont="1"/>
    <xf numFmtId="37" fontId="37" fillId="0" borderId="0" xfId="0" quotePrefix="1" applyNumberFormat="1" applyFont="1" applyFill="1" applyAlignment="1" applyProtection="1">
      <alignment horizontal="left"/>
      <protection locked="0"/>
    </xf>
    <xf numFmtId="166" fontId="37" fillId="0" borderId="0" xfId="0" quotePrefix="1" applyNumberFormat="1" applyFont="1" applyFill="1" applyAlignment="1">
      <alignment horizontal="left"/>
    </xf>
    <xf numFmtId="41" fontId="168" fillId="0" borderId="0" xfId="0" applyNumberFormat="1" applyFont="1"/>
    <xf numFmtId="41" fontId="168" fillId="0" borderId="0" xfId="0" applyNumberFormat="1" applyFont="1" applyAlignment="1">
      <alignment horizontal="right" vertical="top"/>
    </xf>
    <xf numFmtId="0" fontId="111" fillId="0" borderId="0" xfId="0" applyNumberFormat="1" applyFont="1" applyAlignment="1">
      <alignment horizontal="center" vertical="top"/>
    </xf>
    <xf numFmtId="0" fontId="168" fillId="0" borderId="0" xfId="0" applyNumberFormat="1" applyFont="1" applyAlignment="1">
      <alignment horizontal="left" vertical="top" wrapText="1"/>
    </xf>
    <xf numFmtId="170" fontId="44" fillId="0" borderId="93" xfId="0" quotePrefix="1" applyNumberFormat="1" applyFont="1" applyBorder="1" applyAlignment="1">
      <alignment horizontal="left"/>
    </xf>
    <xf numFmtId="170" fontId="37" fillId="0" borderId="93" xfId="0" quotePrefix="1" applyNumberFormat="1" applyFont="1" applyBorder="1" applyAlignment="1">
      <alignment horizontal="left"/>
    </xf>
    <xf numFmtId="170" fontId="44" fillId="0" borderId="93" xfId="0" applyNumberFormat="1" applyFont="1" applyBorder="1" applyAlignment="1"/>
    <xf numFmtId="174" fontId="44" fillId="0" borderId="93" xfId="0" applyNumberFormat="1" applyFont="1" applyBorder="1" applyAlignment="1"/>
    <xf numFmtId="165" fontId="48" fillId="0" borderId="0" xfId="0" applyNumberFormat="1" applyFont="1" applyProtection="1">
      <protection locked="0"/>
    </xf>
    <xf numFmtId="0" fontId="43" fillId="0" borderId="0" xfId="0" applyNumberFormat="1" applyFont="1"/>
    <xf numFmtId="41" fontId="43" fillId="0" borderId="0" xfId="0" applyNumberFormat="1" applyFont="1" applyAlignment="1">
      <alignment horizontal="right"/>
    </xf>
    <xf numFmtId="0" fontId="43" fillId="0" borderId="0" xfId="0" quotePrefix="1" applyNumberFormat="1" applyFont="1" applyAlignment="1">
      <alignment horizontal="left"/>
    </xf>
    <xf numFmtId="41" fontId="42" fillId="0" borderId="0" xfId="0" applyNumberFormat="1" applyFont="1" applyAlignment="1">
      <alignment horizontal="right"/>
    </xf>
    <xf numFmtId="0" fontId="43" fillId="0" borderId="0" xfId="0" applyNumberFormat="1" applyFont="1" applyBorder="1" applyAlignment="1">
      <alignment horizontal="center" wrapText="1"/>
    </xf>
    <xf numFmtId="0" fontId="111" fillId="0" borderId="0" xfId="0" applyNumberFormat="1" applyFont="1"/>
    <xf numFmtId="0" fontId="43" fillId="0" borderId="0" xfId="0" applyNumberFormat="1" applyFont="1" applyFill="1" applyAlignment="1">
      <alignment horizontal="center"/>
    </xf>
    <xf numFmtId="190" fontId="42" fillId="0" borderId="0" xfId="0" applyNumberFormat="1" applyFont="1" applyFill="1" applyAlignment="1"/>
    <xf numFmtId="41" fontId="42" fillId="0" borderId="0" xfId="0" quotePrefix="1" applyNumberFormat="1" applyFont="1" applyFill="1" applyAlignment="1">
      <alignment horizontal="center"/>
    </xf>
    <xf numFmtId="0" fontId="42" fillId="0" borderId="0" xfId="0" applyNumberFormat="1" applyFont="1" applyBorder="1" applyAlignment="1">
      <alignment horizontal="center" wrapText="1"/>
    </xf>
    <xf numFmtId="41" fontId="168" fillId="0" borderId="0" xfId="0" applyNumberFormat="1" applyFont="1" applyFill="1" applyAlignment="1"/>
    <xf numFmtId="190" fontId="168" fillId="0" borderId="0" xfId="0" applyNumberFormat="1" applyFont="1"/>
    <xf numFmtId="190" fontId="111" fillId="0" borderId="0" xfId="0" applyNumberFormat="1" applyFont="1" applyAlignment="1">
      <alignment horizontal="center" vertical="top"/>
    </xf>
    <xf numFmtId="190" fontId="168" fillId="0" borderId="0" xfId="0" applyNumberFormat="1" applyFont="1" applyAlignment="1"/>
    <xf numFmtId="41" fontId="111" fillId="0" borderId="0" xfId="0" applyNumberFormat="1" applyFont="1" applyAlignment="1">
      <alignment horizontal="right" vertical="top"/>
    </xf>
    <xf numFmtId="0" fontId="168" fillId="0" borderId="0" xfId="0" quotePrefix="1" applyNumberFormat="1" applyFont="1" applyAlignment="1"/>
    <xf numFmtId="41" fontId="111" fillId="0" borderId="0" xfId="0" quotePrefix="1" applyNumberFormat="1" applyFont="1" applyAlignment="1">
      <alignment horizontal="right"/>
    </xf>
    <xf numFmtId="41" fontId="42" fillId="0" borderId="0" xfId="0" applyNumberFormat="1" applyFont="1" applyBorder="1" applyAlignment="1">
      <alignment horizontal="right"/>
    </xf>
    <xf numFmtId="190" fontId="42" fillId="0" borderId="0" xfId="0" applyNumberFormat="1" applyFont="1" applyAlignment="1"/>
    <xf numFmtId="41" fontId="43" fillId="0" borderId="0" xfId="0" applyNumberFormat="1" applyFont="1" applyFill="1" applyAlignment="1">
      <alignment horizontal="right"/>
    </xf>
    <xf numFmtId="41" fontId="42" fillId="0" borderId="0" xfId="0" applyNumberFormat="1" applyFont="1" applyFill="1" applyBorder="1" applyAlignment="1">
      <alignment horizontal="right"/>
    </xf>
    <xf numFmtId="190" fontId="42" fillId="0" borderId="0" xfId="0" applyNumberFormat="1" applyFont="1" applyFill="1" applyBorder="1"/>
    <xf numFmtId="0" fontId="43" fillId="0" borderId="0" xfId="0" applyNumberFormat="1" applyFont="1" applyFill="1" applyBorder="1" applyAlignment="1">
      <alignment horizontal="center" wrapText="1"/>
    </xf>
    <xf numFmtId="190" fontId="42" fillId="0" borderId="0" xfId="0" applyNumberFormat="1" applyFont="1"/>
    <xf numFmtId="0" fontId="42" fillId="0" borderId="0" xfId="0" applyNumberFormat="1" applyFont="1" applyFill="1" applyBorder="1" applyAlignment="1">
      <alignment horizontal="center" wrapText="1"/>
    </xf>
    <xf numFmtId="0" fontId="111" fillId="0" borderId="0" xfId="0" applyNumberFormat="1" applyFont="1" applyFill="1" applyBorder="1" applyAlignment="1">
      <alignment horizontal="center" wrapText="1"/>
    </xf>
    <xf numFmtId="0" fontId="168" fillId="0" borderId="0" xfId="0" applyNumberFormat="1" applyFont="1" applyFill="1" applyBorder="1" applyAlignment="1">
      <alignment horizontal="center" wrapText="1"/>
    </xf>
    <xf numFmtId="0" fontId="111" fillId="0" borderId="0" xfId="0" applyNumberFormat="1" applyFont="1" applyFill="1" applyBorder="1" applyAlignment="1">
      <alignment horizontal="center"/>
    </xf>
    <xf numFmtId="190" fontId="168" fillId="0" borderId="0" xfId="0" applyNumberFormat="1" applyFont="1" applyFill="1" applyBorder="1"/>
    <xf numFmtId="0" fontId="168" fillId="0" borderId="0" xfId="0" applyNumberFormat="1" applyFont="1" applyFill="1" applyBorder="1" applyAlignment="1"/>
    <xf numFmtId="49" fontId="111" fillId="0" borderId="0" xfId="0" applyNumberFormat="1" applyFont="1"/>
    <xf numFmtId="0" fontId="111" fillId="0" borderId="0" xfId="0" applyNumberFormat="1" applyFont="1" applyBorder="1" applyAlignment="1">
      <alignment horizontal="right"/>
    </xf>
    <xf numFmtId="49" fontId="168" fillId="0" borderId="0" xfId="0" applyNumberFormat="1" applyFont="1" applyAlignment="1">
      <alignment vertical="top" wrapText="1"/>
    </xf>
    <xf numFmtId="0" fontId="111" fillId="0" borderId="0" xfId="0" applyNumberFormat="1" applyFont="1" applyAlignment="1">
      <alignment horizontal="center" vertical="top" wrapText="1"/>
    </xf>
    <xf numFmtId="41" fontId="168" fillId="0" borderId="0" xfId="0" applyNumberFormat="1" applyFont="1" applyFill="1" applyBorder="1" applyAlignment="1"/>
    <xf numFmtId="0" fontId="168" fillId="0" borderId="0" xfId="0" applyNumberFormat="1" applyFont="1" applyFill="1" applyAlignment="1">
      <alignment horizontal="left"/>
    </xf>
    <xf numFmtId="0" fontId="168" fillId="0" borderId="0" xfId="0" applyNumberFormat="1" applyFont="1" applyFill="1" applyAlignment="1">
      <alignment vertical="top"/>
    </xf>
    <xf numFmtId="0" fontId="168" fillId="0" borderId="0" xfId="0" applyNumberFormat="1" applyFont="1" applyFill="1" applyAlignment="1">
      <alignment horizontal="left" wrapText="1"/>
    </xf>
    <xf numFmtId="172" fontId="62" fillId="0" borderId="0" xfId="0" applyNumberFormat="1" applyFont="1" applyBorder="1" applyAlignment="1" applyProtection="1"/>
    <xf numFmtId="0" fontId="59" fillId="0" borderId="0" xfId="2" quotePrefix="1" applyNumberFormat="1" applyFont="1" applyAlignment="1">
      <alignment horizontal="center"/>
    </xf>
    <xf numFmtId="43" fontId="37" fillId="0" borderId="0" xfId="17924" applyFont="1" applyFill="1" applyAlignment="1" applyProtection="1">
      <alignment horizontal="right"/>
      <protection locked="0"/>
    </xf>
    <xf numFmtId="44" fontId="42" fillId="0" borderId="0" xfId="0" applyNumberFormat="1" applyFont="1" applyFill="1" applyAlignment="1"/>
    <xf numFmtId="44" fontId="42" fillId="0" borderId="0" xfId="0" applyNumberFormat="1" applyFont="1" applyFill="1" applyAlignment="1">
      <alignment horizontal="right"/>
    </xf>
    <xf numFmtId="4" fontId="42" fillId="0" borderId="0" xfId="0" applyNumberFormat="1" applyFont="1" applyFill="1" applyAlignment="1">
      <alignment horizontal="right"/>
    </xf>
    <xf numFmtId="43" fontId="42" fillId="0" borderId="0" xfId="0" applyNumberFormat="1" applyFont="1" applyFill="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177" fontId="67" fillId="0" borderId="16" xfId="836" applyNumberFormat="1" applyFont="1" applyFill="1" applyBorder="1" applyAlignment="1">
      <alignment horizontal="right"/>
    </xf>
    <xf numFmtId="39" fontId="44" fillId="0" borderId="0" xfId="1776" applyNumberFormat="1" applyFont="1" applyFill="1" applyBorder="1" applyAlignment="1">
      <alignment horizontal="center"/>
    </xf>
    <xf numFmtId="0" fontId="49" fillId="0" borderId="0" xfId="8" applyFont="1"/>
    <xf numFmtId="0" fontId="49" fillId="0" borderId="0" xfId="8" applyFont="1" applyFill="1" applyAlignment="1"/>
    <xf numFmtId="0" fontId="98" fillId="0" borderId="0" xfId="8" applyFont="1"/>
    <xf numFmtId="172" fontId="0" fillId="0" borderId="0" xfId="0" applyNumberFormat="1" applyFont="1" applyBorder="1" applyAlignment="1" applyProtection="1"/>
    <xf numFmtId="164" fontId="0" fillId="0" borderId="42" xfId="2" applyNumberFormat="1" applyFont="1" applyBorder="1"/>
    <xf numFmtId="170" fontId="44" fillId="0" borderId="16" xfId="0" applyNumberFormat="1" applyFont="1" applyFill="1" applyBorder="1" applyAlignment="1" applyProtection="1"/>
    <xf numFmtId="170" fontId="44" fillId="0" borderId="66" xfId="2" applyNumberFormat="1" applyFont="1" applyFill="1" applyBorder="1" applyAlignment="1" applyProtection="1"/>
    <xf numFmtId="170" fontId="39" fillId="0" borderId="93" xfId="2" applyNumberFormat="1" applyFont="1" applyFill="1" applyBorder="1" applyAlignment="1"/>
    <xf numFmtId="182" fontId="37" fillId="0" borderId="0" xfId="740" applyNumberFormat="1" applyFont="1" applyFill="1" applyAlignment="1"/>
    <xf numFmtId="170" fontId="77" fillId="0" borderId="0" xfId="2" applyNumberFormat="1" applyFont="1" applyFill="1" applyAlignment="1"/>
    <xf numFmtId="164" fontId="62" fillId="0" borderId="0" xfId="0" applyNumberFormat="1" applyFont="1" applyBorder="1" applyAlignment="1" applyProtection="1"/>
    <xf numFmtId="40" fontId="66" fillId="0" borderId="0" xfId="25861" applyNumberFormat="1" applyFont="1" applyAlignment="1"/>
    <xf numFmtId="39" fontId="66" fillId="0" borderId="0" xfId="25861" applyNumberFormat="1" applyFont="1" applyAlignment="1"/>
    <xf numFmtId="165" fontId="83" fillId="0" borderId="0" xfId="840" applyNumberFormat="1" applyFont="1" applyAlignment="1"/>
    <xf numFmtId="0" fontId="83" fillId="0" borderId="0" xfId="840" applyNumberFormat="1" applyFont="1" applyAlignment="1">
      <alignment horizontal="left"/>
    </xf>
    <xf numFmtId="42" fontId="44" fillId="0" borderId="81" xfId="840" applyNumberFormat="1" applyFont="1" applyBorder="1" applyAlignment="1"/>
    <xf numFmtId="37" fontId="37" fillId="0" borderId="84" xfId="840" applyNumberFormat="1" applyFont="1" applyBorder="1" applyAlignment="1"/>
    <xf numFmtId="41" fontId="37" fillId="0" borderId="84" xfId="11" applyNumberFormat="1" applyFont="1" applyBorder="1" applyAlignment="1"/>
    <xf numFmtId="41" fontId="37" fillId="0" borderId="84" xfId="840" quotePrefix="1" applyNumberFormat="1" applyFont="1" applyBorder="1" applyAlignment="1">
      <alignment horizontal="right"/>
    </xf>
    <xf numFmtId="41" fontId="37" fillId="0" borderId="84" xfId="840" quotePrefix="1" applyNumberFormat="1" applyFont="1" applyBorder="1" applyAlignment="1">
      <alignment horizontal="center"/>
    </xf>
    <xf numFmtId="41" fontId="37" fillId="0" borderId="84" xfId="840" applyNumberFormat="1" applyFont="1" applyBorder="1"/>
    <xf numFmtId="41" fontId="44" fillId="0" borderId="86" xfId="840" quotePrefix="1" applyNumberFormat="1" applyFont="1" applyBorder="1" applyAlignment="1"/>
    <xf numFmtId="41" fontId="44" fillId="0" borderId="86" xfId="840" applyNumberFormat="1" applyFont="1" applyFill="1" applyBorder="1" applyAlignment="1"/>
    <xf numFmtId="41" fontId="44" fillId="0" borderId="86" xfId="840" applyNumberFormat="1" applyFont="1" applyBorder="1" applyAlignment="1"/>
    <xf numFmtId="190" fontId="37" fillId="0" borderId="82" xfId="11" applyNumberFormat="1" applyFont="1" applyBorder="1" applyAlignment="1"/>
    <xf numFmtId="39" fontId="37" fillId="0" borderId="82" xfId="840" applyNumberFormat="1" applyFont="1" applyBorder="1" applyAlignment="1"/>
    <xf numFmtId="170" fontId="62" fillId="0" borderId="0" xfId="2" quotePrefix="1" applyNumberFormat="1" applyFont="1" applyFill="1" applyAlignment="1"/>
    <xf numFmtId="170" fontId="44" fillId="0" borderId="45" xfId="2" applyNumberFormat="1" applyFont="1" applyBorder="1" applyAlignment="1">
      <alignment horizontal="right"/>
    </xf>
    <xf numFmtId="170" fontId="44" fillId="0" borderId="82" xfId="0" applyNumberFormat="1" applyFont="1" applyBorder="1" applyAlignment="1" applyProtection="1">
      <protection locked="0"/>
    </xf>
    <xf numFmtId="174" fontId="44" fillId="0" borderId="81" xfId="0" applyNumberFormat="1" applyFont="1" applyBorder="1" applyAlignment="1" applyProtection="1">
      <protection locked="0"/>
    </xf>
    <xf numFmtId="174" fontId="44" fillId="0" borderId="0" xfId="0" applyNumberFormat="1" applyFont="1" applyAlignment="1">
      <alignment horizontal="center"/>
    </xf>
    <xf numFmtId="0" fontId="111" fillId="0" borderId="0" xfId="0" applyNumberFormat="1" applyFont="1" applyFill="1" applyAlignment="1">
      <alignment horizontal="center"/>
    </xf>
    <xf numFmtId="0" fontId="44" fillId="0" borderId="0" xfId="2" applyNumberFormat="1" applyFont="1" applyAlignment="1">
      <alignment horizontal="left"/>
    </xf>
    <xf numFmtId="170" fontId="62" fillId="0" borderId="0" xfId="2" applyNumberFormat="1" applyFont="1" applyFill="1" applyAlignment="1"/>
    <xf numFmtId="177" fontId="67" fillId="0" borderId="0" xfId="836" applyNumberFormat="1" applyFont="1" applyFill="1" applyBorder="1" applyAlignment="1">
      <alignment horizontal="right"/>
    </xf>
    <xf numFmtId="0" fontId="168" fillId="0" borderId="0" xfId="0" applyNumberFormat="1" applyFont="1" applyFill="1" applyAlignment="1">
      <alignment horizontal="left" vertical="top" wrapText="1"/>
    </xf>
    <xf numFmtId="0" fontId="168" fillId="0" borderId="0" xfId="0" applyNumberFormat="1" applyFont="1" applyFill="1" applyBorder="1" applyAlignment="1">
      <alignment horizontal="left" vertical="top" wrapText="1"/>
    </xf>
    <xf numFmtId="173" fontId="39" fillId="0" borderId="0" xfId="0" applyNumberFormat="1" applyFont="1" applyAlignment="1" applyProtection="1">
      <protection locked="0"/>
    </xf>
    <xf numFmtId="43" fontId="44" fillId="0" borderId="87" xfId="1767" applyNumberFormat="1" applyFont="1" applyFill="1" applyBorder="1" applyAlignment="1" applyProtection="1">
      <alignment horizontal="right"/>
    </xf>
    <xf numFmtId="43" fontId="44" fillId="0" borderId="87" xfId="0" applyNumberFormat="1" applyFont="1" applyBorder="1" applyAlignment="1">
      <alignment horizontal="right"/>
    </xf>
    <xf numFmtId="44" fontId="44" fillId="0" borderId="87" xfId="1767" applyNumberFormat="1" applyFont="1" applyFill="1" applyBorder="1" applyAlignment="1" applyProtection="1">
      <alignment horizontal="right"/>
    </xf>
    <xf numFmtId="164" fontId="111" fillId="0" borderId="0" xfId="0" applyFont="1"/>
    <xf numFmtId="164" fontId="168" fillId="0" borderId="0" xfId="0" applyFont="1"/>
    <xf numFmtId="43" fontId="44" fillId="0" borderId="87" xfId="17924" applyFont="1" applyFill="1" applyBorder="1" applyAlignment="1" applyProtection="1">
      <alignment horizontal="right"/>
    </xf>
    <xf numFmtId="43" fontId="37" fillId="0" borderId="0" xfId="17924" applyFont="1" applyBorder="1" applyAlignment="1" applyProtection="1">
      <alignment horizontal="right"/>
      <protection locked="0"/>
    </xf>
    <xf numFmtId="43" fontId="0" fillId="0" borderId="0" xfId="17924" applyFont="1" applyAlignment="1" applyProtection="1">
      <alignment horizontal="right"/>
      <protection locked="0"/>
    </xf>
    <xf numFmtId="43" fontId="44" fillId="0" borderId="0" xfId="17924" applyFont="1" applyFill="1" applyAlignment="1" applyProtection="1">
      <alignment horizontal="right"/>
      <protection locked="0"/>
    </xf>
    <xf numFmtId="43" fontId="37" fillId="0" borderId="0" xfId="17924" applyFont="1" applyAlignment="1" applyProtection="1">
      <alignment horizontal="right"/>
      <protection locked="0"/>
    </xf>
    <xf numFmtId="173" fontId="79" fillId="0" borderId="0" xfId="836" applyNumberFormat="1" applyFont="1" applyAlignment="1"/>
    <xf numFmtId="172" fontId="67" fillId="0" borderId="0" xfId="0" applyNumberFormat="1" applyFont="1" applyBorder="1" applyAlignment="1" applyProtection="1"/>
    <xf numFmtId="172" fontId="67" fillId="0" borderId="66" xfId="0" applyNumberFormat="1" applyFont="1" applyBorder="1" applyAlignment="1" applyProtection="1"/>
    <xf numFmtId="170" fontId="39" fillId="0" borderId="96" xfId="2" applyNumberFormat="1" applyFont="1" applyFill="1" applyBorder="1" applyAlignment="1"/>
    <xf numFmtId="164" fontId="189" fillId="0" borderId="66" xfId="2" applyNumberFormat="1" applyFont="1" applyBorder="1" applyAlignment="1" applyProtection="1"/>
    <xf numFmtId="0" fontId="42" fillId="0" borderId="0" xfId="0" applyNumberFormat="1" applyFont="1" applyFill="1" applyBorder="1" applyAlignment="1">
      <alignment horizontal="left" vertical="top" wrapText="1"/>
    </xf>
    <xf numFmtId="165" fontId="190" fillId="0" borderId="0" xfId="840" applyNumberFormat="1" applyFont="1" applyAlignment="1"/>
    <xf numFmtId="165" fontId="37" fillId="0" borderId="0" xfId="0" applyNumberFormat="1" applyFont="1" applyFill="1" applyProtection="1">
      <protection locked="0"/>
    </xf>
    <xf numFmtId="0" fontId="67" fillId="0" borderId="0" xfId="17029" quotePrefix="1" applyNumberFormat="1" applyFont="1" applyFill="1" applyAlignment="1">
      <alignment horizontal="left"/>
    </xf>
    <xf numFmtId="0" fontId="43" fillId="0" borderId="66" xfId="0" applyNumberFormat="1" applyFont="1" applyFill="1" applyBorder="1" applyAlignment="1">
      <alignment horizontal="center"/>
    </xf>
    <xf numFmtId="49" fontId="43" fillId="0" borderId="66" xfId="9967" applyNumberFormat="1" applyFont="1" applyFill="1" applyBorder="1" applyAlignment="1">
      <alignment horizontal="center"/>
    </xf>
    <xf numFmtId="0" fontId="42" fillId="0" borderId="72" xfId="0" applyNumberFormat="1" applyFont="1" applyFill="1" applyBorder="1"/>
    <xf numFmtId="0" fontId="42" fillId="0" borderId="72" xfId="0" applyNumberFormat="1" applyFont="1" applyFill="1" applyBorder="1" applyAlignment="1"/>
    <xf numFmtId="4" fontId="42" fillId="0" borderId="0" xfId="0" applyNumberFormat="1" applyFont="1" applyFill="1"/>
    <xf numFmtId="39" fontId="42" fillId="0" borderId="0" xfId="0" applyNumberFormat="1" applyFont="1" applyFill="1" applyBorder="1" applyAlignment="1"/>
    <xf numFmtId="39" fontId="42" fillId="0" borderId="66" xfId="0" quotePrefix="1" applyNumberFormat="1" applyFont="1" applyFill="1" applyBorder="1" applyAlignment="1">
      <alignment horizontal="center"/>
    </xf>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43" fontId="42" fillId="0" borderId="0" xfId="0" applyNumberFormat="1" applyFont="1" applyFill="1" applyBorder="1" applyAlignment="1"/>
    <xf numFmtId="0" fontId="43" fillId="0" borderId="0" xfId="0" applyNumberFormat="1" applyFont="1" applyFill="1" applyAlignment="1">
      <alignment horizontal="right"/>
    </xf>
    <xf numFmtId="44" fontId="43" fillId="0" borderId="87" xfId="0" applyNumberFormat="1" applyFont="1" applyFill="1" applyBorder="1" applyAlignment="1">
      <alignment horizontal="right"/>
    </xf>
    <xf numFmtId="0" fontId="43" fillId="0" borderId="0" xfId="0" applyNumberFormat="1" applyFont="1" applyFill="1" applyAlignment="1"/>
    <xf numFmtId="0" fontId="43" fillId="0" borderId="49" xfId="0" applyNumberFormat="1" applyFont="1" applyFill="1" applyBorder="1" applyAlignment="1"/>
    <xf numFmtId="7" fontId="43" fillId="0" borderId="0" xfId="0" applyNumberFormat="1" applyFont="1" applyFill="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7" fontId="42" fillId="0" borderId="0" xfId="0" applyNumberFormat="1" applyFont="1" applyFill="1" applyAlignment="1">
      <alignment horizontal="center" vertical="top"/>
    </xf>
    <xf numFmtId="187"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0" fontId="37" fillId="0" borderId="0" xfId="5508" applyFont="1" applyFill="1" applyBorder="1" applyAlignment="1"/>
    <xf numFmtId="170" fontId="44" fillId="0" borderId="0" xfId="2" applyNumberFormat="1" applyFont="1" applyFill="1" applyAlignment="1">
      <alignment vertical="center"/>
    </xf>
    <xf numFmtId="0" fontId="1" fillId="0" borderId="0" xfId="841" applyFont="1"/>
    <xf numFmtId="4" fontId="44" fillId="36" borderId="97" xfId="1028" applyNumberFormat="1" applyFont="1" applyFill="1" applyBorder="1" applyAlignment="1">
      <alignment horizontal="center"/>
    </xf>
    <xf numFmtId="4" fontId="44" fillId="36" borderId="97" xfId="1028" quotePrefix="1" applyNumberFormat="1" applyFont="1" applyFill="1" applyBorder="1" applyAlignment="1">
      <alignment horizontal="center"/>
    </xf>
    <xf numFmtId="43" fontId="37" fillId="0" borderId="0" xfId="1028" applyNumberFormat="1" applyFont="1" applyBorder="1" applyAlignment="1" applyProtection="1">
      <alignment horizontal="right"/>
      <protection locked="0"/>
    </xf>
    <xf numFmtId="4" fontId="44" fillId="36" borderId="97" xfId="0" applyNumberFormat="1" applyFont="1" applyFill="1" applyBorder="1" applyAlignment="1">
      <alignment horizontal="center"/>
    </xf>
    <xf numFmtId="43" fontId="44" fillId="0" borderId="0" xfId="1767" applyNumberFormat="1" applyFont="1" applyFill="1" applyAlignment="1" applyProtection="1">
      <alignment horizontal="right"/>
      <protection locked="0"/>
    </xf>
    <xf numFmtId="170" fontId="42" fillId="0" borderId="0" xfId="4" quotePrefix="1" applyNumberFormat="1" applyFont="1" applyFill="1" applyAlignment="1">
      <alignment horizontal="left"/>
    </xf>
    <xf numFmtId="182" fontId="79" fillId="0" borderId="0" xfId="836" applyNumberFormat="1" applyFont="1" applyAlignment="1"/>
    <xf numFmtId="181" fontId="79" fillId="0" borderId="0" xfId="836" applyNumberFormat="1" applyFont="1" applyAlignment="1">
      <alignment horizontal="left"/>
    </xf>
    <xf numFmtId="181" fontId="79" fillId="0" borderId="0" xfId="836" applyNumberFormat="1" applyFont="1" applyAlignment="1"/>
    <xf numFmtId="172" fontId="44" fillId="0" borderId="66" xfId="1940" applyNumberFormat="1" applyFont="1" applyBorder="1" applyAlignment="1" applyProtection="1"/>
    <xf numFmtId="0" fontId="140" fillId="0" borderId="0" xfId="8" applyFont="1" applyFill="1" applyAlignment="1"/>
    <xf numFmtId="0" fontId="140" fillId="0" borderId="0" xfId="8" applyFont="1" applyFill="1"/>
    <xf numFmtId="0" fontId="37" fillId="0" borderId="0" xfId="8" applyFont="1" applyFill="1"/>
    <xf numFmtId="191"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8" fillId="0" borderId="0" xfId="8" applyFont="1" applyFill="1"/>
    <xf numFmtId="0" fontId="49" fillId="0" borderId="0" xfId="8" applyFont="1" applyFill="1" applyAlignment="1">
      <alignment horizontal="left"/>
    </xf>
    <xf numFmtId="0" fontId="166"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41" fillId="0" borderId="0" xfId="8" applyFont="1" applyFill="1"/>
    <xf numFmtId="0" fontId="114" fillId="0" borderId="0" xfId="8" quotePrefix="1" applyNumberFormat="1" applyFont="1" applyFill="1" applyAlignment="1">
      <alignment horizontal="right"/>
    </xf>
    <xf numFmtId="0" fontId="139" fillId="0" borderId="0" xfId="8" applyFont="1" applyFill="1" applyAlignment="1">
      <alignment horizontal="left"/>
    </xf>
    <xf numFmtId="0" fontId="140" fillId="0" borderId="0" xfId="8" applyFont="1" applyFill="1" applyAlignment="1">
      <alignment horizontal="center" vertical="top"/>
    </xf>
    <xf numFmtId="0" fontId="0" fillId="0" borderId="0" xfId="8" applyFont="1" applyFill="1"/>
    <xf numFmtId="41" fontId="0" fillId="0" borderId="0" xfId="8" applyNumberFormat="1" applyFont="1" applyFill="1" applyAlignment="1">
      <alignment horizontal="right" vertical="top"/>
    </xf>
    <xf numFmtId="41" fontId="49" fillId="0" borderId="0" xfId="8" applyNumberFormat="1" applyFont="1" applyFill="1" applyAlignment="1">
      <alignment horizontal="center"/>
    </xf>
    <xf numFmtId="0" fontId="114" fillId="0" borderId="0" xfId="8" quotePrefix="1" applyFont="1" applyFill="1" applyAlignment="1">
      <alignment horizontal="right"/>
    </xf>
    <xf numFmtId="0" fontId="148" fillId="0" borderId="0" xfId="861" applyNumberFormat="1" applyBorder="1" applyAlignment="1" applyProtection="1"/>
    <xf numFmtId="164" fontId="171" fillId="0" borderId="0" xfId="0" applyNumberFormat="1" applyFont="1" applyBorder="1" applyAlignment="1" applyProtection="1"/>
    <xf numFmtId="164" fontId="171" fillId="0" borderId="66" xfId="0" applyNumberFormat="1" applyFont="1" applyBorder="1" applyAlignment="1" applyProtection="1"/>
    <xf numFmtId="0" fontId="44" fillId="0" borderId="0" xfId="1776" applyNumberFormat="1" applyFont="1" applyAlignment="1">
      <alignment horizontal="center"/>
    </xf>
    <xf numFmtId="170" fontId="60" fillId="0" borderId="0" xfId="2" applyNumberFormat="1" applyFont="1" applyFill="1" applyAlignment="1"/>
    <xf numFmtId="0" fontId="44" fillId="0" borderId="66" xfId="2" applyFont="1" applyFill="1" applyBorder="1" applyAlignment="1">
      <alignment horizontal="center"/>
    </xf>
    <xf numFmtId="0" fontId="37" fillId="0" borderId="66" xfId="2" applyFont="1" applyFill="1" applyBorder="1" applyAlignment="1">
      <alignment horizontal="center"/>
    </xf>
    <xf numFmtId="37" fontId="44" fillId="0" borderId="66" xfId="2" quotePrefix="1" applyNumberFormat="1" applyFont="1" applyBorder="1" applyAlignment="1">
      <alignment horizontal="center"/>
    </xf>
    <xf numFmtId="37" fontId="66"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43" fontId="168" fillId="0" borderId="0" xfId="0" applyNumberFormat="1" applyFont="1"/>
    <xf numFmtId="41" fontId="43" fillId="0" borderId="0" xfId="0" applyNumberFormat="1" applyFont="1" applyFill="1"/>
    <xf numFmtId="41" fontId="42" fillId="0" borderId="0" xfId="0" applyNumberFormat="1" applyFont="1" applyFill="1"/>
    <xf numFmtId="41" fontId="42" fillId="0" borderId="0" xfId="0" applyNumberFormat="1" applyFont="1" applyFill="1" applyBorder="1" applyAlignment="1"/>
    <xf numFmtId="41" fontId="42" fillId="0" borderId="0" xfId="0" applyNumberFormat="1" applyFont="1" applyBorder="1"/>
    <xf numFmtId="190" fontId="42" fillId="0" borderId="0" xfId="0" applyNumberFormat="1" applyFont="1" applyBorder="1"/>
    <xf numFmtId="164" fontId="168" fillId="0" borderId="0" xfId="0" applyFont="1" applyFill="1"/>
    <xf numFmtId="41" fontId="42" fillId="0" borderId="0" xfId="0" applyNumberFormat="1" applyFont="1" applyFill="1" applyBorder="1" applyAlignment="1">
      <alignment wrapText="1"/>
    </xf>
    <xf numFmtId="190" fontId="42" fillId="0" borderId="0" xfId="0" applyNumberFormat="1" applyFont="1" applyFill="1" applyBorder="1" applyAlignment="1">
      <alignment vertical="center"/>
    </xf>
    <xf numFmtId="41" fontId="43" fillId="0" borderId="0" xfId="0" applyNumberFormat="1" applyFont="1" applyFill="1" applyBorder="1" applyAlignment="1">
      <alignment horizontal="center"/>
    </xf>
    <xf numFmtId="190" fontId="43" fillId="0" borderId="0" xfId="0" applyNumberFormat="1" applyFont="1" applyFill="1" applyBorder="1" applyAlignment="1">
      <alignment horizontal="center"/>
    </xf>
    <xf numFmtId="190" fontId="43" fillId="0" borderId="0" xfId="0" applyNumberFormat="1" applyFont="1" applyFill="1" applyAlignment="1">
      <alignment horizontal="center"/>
    </xf>
    <xf numFmtId="41" fontId="43" fillId="0" borderId="0" xfId="0" applyNumberFormat="1" applyFont="1" applyFill="1" applyAlignment="1"/>
    <xf numFmtId="41" fontId="42" fillId="0" borderId="0" xfId="0" applyNumberFormat="1" applyFont="1" applyFill="1" applyAlignment="1"/>
    <xf numFmtId="164" fontId="42" fillId="0" borderId="0" xfId="0" applyFont="1" applyFill="1"/>
    <xf numFmtId="164" fontId="42" fillId="0" borderId="0" xfId="0" applyFont="1"/>
    <xf numFmtId="0" fontId="42" fillId="0" borderId="0" xfId="0" applyNumberFormat="1" applyFont="1" applyBorder="1" applyAlignment="1">
      <alignment horizontal="left"/>
    </xf>
    <xf numFmtId="41" fontId="168" fillId="0" borderId="0" xfId="0" applyNumberFormat="1" applyFont="1" applyFill="1" applyAlignment="1">
      <alignment horizontal="right" vertical="center"/>
    </xf>
    <xf numFmtId="167" fontId="37" fillId="0" borderId="0" xfId="2" quotePrefix="1" applyNumberFormat="1" applyFont="1" applyAlignment="1">
      <alignment horizontal="center"/>
    </xf>
    <xf numFmtId="194" fontId="37" fillId="0" borderId="0" xfId="2" quotePrefix="1" applyNumberFormat="1" applyFont="1" applyAlignment="1">
      <alignment horizontal="center"/>
    </xf>
    <xf numFmtId="0" fontId="139" fillId="0" borderId="0" xfId="8" applyFont="1" applyFill="1" applyAlignment="1"/>
    <xf numFmtId="169" fontId="49" fillId="0" borderId="0" xfId="8" quotePrefix="1" applyNumberFormat="1" applyFont="1" applyFill="1" applyAlignment="1">
      <alignment horizontal="right"/>
    </xf>
    <xf numFmtId="166" fontId="49" fillId="0" borderId="0" xfId="8" quotePrefix="1" applyNumberFormat="1" applyFont="1" applyFill="1" applyAlignment="1"/>
    <xf numFmtId="166" fontId="49" fillId="0" borderId="0" xfId="8" applyNumberFormat="1" applyFont="1" applyFill="1" applyAlignment="1">
      <alignment horizontal="right"/>
    </xf>
    <xf numFmtId="41" fontId="37" fillId="0" borderId="0" xfId="8" applyNumberFormat="1" applyFont="1" applyFill="1" applyAlignment="1">
      <alignment horizontal="right"/>
    </xf>
    <xf numFmtId="170" fontId="62" fillId="0" borderId="66" xfId="2" quotePrefix="1" applyNumberFormat="1" applyFont="1" applyFill="1" applyBorder="1" applyAlignment="1"/>
    <xf numFmtId="174" fontId="44" fillId="0" borderId="0" xfId="5517" applyNumberFormat="1" applyFont="1" applyFill="1"/>
    <xf numFmtId="170" fontId="37" fillId="0" borderId="0" xfId="0" quotePrefix="1" applyNumberFormat="1" applyFont="1" applyFill="1" applyAlignment="1" applyProtection="1">
      <alignment horizontal="right"/>
      <protection locked="0"/>
    </xf>
    <xf numFmtId="164" fontId="39" fillId="0" borderId="0" xfId="0" applyNumberFormat="1" applyFont="1" applyFill="1" applyBorder="1" applyAlignment="1" applyProtection="1"/>
    <xf numFmtId="170" fontId="37" fillId="0" borderId="66" xfId="5517" quotePrefix="1" applyNumberFormat="1" applyFont="1" applyFill="1" applyBorder="1" applyAlignment="1">
      <alignment horizontal="center"/>
    </xf>
    <xf numFmtId="170" fontId="37" fillId="0" borderId="66" xfId="5517" applyNumberFormat="1" applyFont="1" applyFill="1" applyBorder="1"/>
    <xf numFmtId="170" fontId="37" fillId="0" borderId="66" xfId="1046" applyNumberFormat="1" applyFont="1" applyFill="1" applyBorder="1"/>
    <xf numFmtId="170" fontId="37" fillId="0" borderId="0" xfId="2" applyNumberFormat="1" applyFont="1" applyFill="1"/>
    <xf numFmtId="170" fontId="44" fillId="0" borderId="10" xfId="0" applyNumberFormat="1" applyFont="1" applyFill="1" applyBorder="1" applyAlignment="1" applyProtection="1"/>
    <xf numFmtId="0" fontId="67" fillId="0" borderId="0" xfId="2" applyNumberFormat="1" applyFont="1" applyFill="1" applyAlignment="1"/>
    <xf numFmtId="174" fontId="67" fillId="0" borderId="20" xfId="2" quotePrefix="1" applyNumberFormat="1" applyFont="1" applyFill="1" applyBorder="1" applyAlignment="1">
      <alignment horizontal="right"/>
    </xf>
    <xf numFmtId="174" fontId="67" fillId="0" borderId="0" xfId="2" applyNumberFormat="1" applyFont="1" applyFill="1" applyAlignment="1"/>
    <xf numFmtId="174" fontId="67" fillId="0" borderId="0" xfId="2" applyNumberFormat="1" applyFont="1" applyFill="1" applyAlignment="1" applyProtection="1">
      <protection locked="0"/>
    </xf>
    <xf numFmtId="174" fontId="67" fillId="0" borderId="24" xfId="2" applyNumberFormat="1" applyFont="1" applyFill="1" applyBorder="1" applyAlignment="1" applyProtection="1">
      <protection locked="0"/>
    </xf>
    <xf numFmtId="174" fontId="67" fillId="0" borderId="21" xfId="2" applyNumberFormat="1" applyFont="1" applyFill="1" applyBorder="1" applyAlignment="1" applyProtection="1">
      <protection locked="0"/>
    </xf>
    <xf numFmtId="174" fontId="170" fillId="0" borderId="24" xfId="2" applyNumberFormat="1" applyFont="1" applyFill="1" applyBorder="1" applyAlignment="1" applyProtection="1">
      <protection locked="0"/>
    </xf>
    <xf numFmtId="174" fontId="170" fillId="0" borderId="0" xfId="2" applyNumberFormat="1" applyFont="1" applyFill="1" applyBorder="1" applyAlignment="1" applyProtection="1">
      <protection locked="0"/>
    </xf>
    <xf numFmtId="174" fontId="170" fillId="0" borderId="0" xfId="2" quotePrefix="1" applyNumberFormat="1" applyFont="1" applyFill="1" applyBorder="1" applyAlignment="1">
      <alignment horizontal="right"/>
    </xf>
    <xf numFmtId="169" fontId="170" fillId="0" borderId="15" xfId="2" applyNumberFormat="1" applyFont="1" applyFill="1" applyBorder="1" applyAlignment="1" applyProtection="1">
      <alignment horizontal="right"/>
      <protection locked="0"/>
    </xf>
    <xf numFmtId="174" fontId="170" fillId="0" borderId="0" xfId="2" applyNumberFormat="1" applyFont="1" applyFill="1" applyBorder="1" applyAlignment="1"/>
    <xf numFmtId="0" fontId="171" fillId="0" borderId="0" xfId="2" applyNumberFormat="1" applyFont="1" applyFill="1" applyBorder="1" applyAlignment="1"/>
    <xf numFmtId="164" fontId="170" fillId="0" borderId="0" xfId="1940" applyNumberFormat="1" applyFont="1" applyFill="1" applyAlignment="1"/>
    <xf numFmtId="0" fontId="96" fillId="0" borderId="0" xfId="2" applyNumberFormat="1" applyFont="1" applyFill="1" applyAlignment="1"/>
    <xf numFmtId="0" fontId="62" fillId="0" borderId="0" xfId="2" quotePrefix="1" applyNumberFormat="1" applyFont="1" applyFill="1" applyAlignment="1">
      <alignment horizontal="left"/>
    </xf>
    <xf numFmtId="170" fontId="62" fillId="0" borderId="10" xfId="2" quotePrefix="1" applyNumberFormat="1" applyFont="1" applyFill="1" applyBorder="1" applyAlignment="1">
      <alignment horizontal="right"/>
    </xf>
    <xf numFmtId="170" fontId="62" fillId="0" borderId="0" xfId="2" applyNumberFormat="1" applyFont="1" applyFill="1" applyBorder="1" applyAlignment="1" applyProtection="1">
      <protection locked="0"/>
    </xf>
    <xf numFmtId="170" fontId="62" fillId="0" borderId="0" xfId="2" applyNumberFormat="1" applyFont="1" applyFill="1" applyAlignment="1" applyProtection="1">
      <protection locked="0"/>
    </xf>
    <xf numFmtId="170" fontId="62" fillId="0" borderId="24" xfId="2" applyNumberFormat="1" applyFont="1" applyFill="1" applyBorder="1" applyAlignment="1" applyProtection="1">
      <protection locked="0"/>
    </xf>
    <xf numFmtId="170" fontId="62" fillId="0" borderId="21" xfId="2" applyNumberFormat="1" applyFont="1" applyFill="1" applyBorder="1" applyAlignment="1" applyProtection="1">
      <protection locked="0"/>
    </xf>
    <xf numFmtId="170" fontId="171" fillId="0" borderId="24" xfId="2" applyNumberFormat="1" applyFont="1" applyFill="1" applyBorder="1" applyAlignment="1" applyProtection="1">
      <protection locked="0"/>
    </xf>
    <xf numFmtId="170" fontId="171" fillId="0" borderId="0" xfId="2" applyNumberFormat="1" applyFont="1" applyFill="1" applyAlignment="1" applyProtection="1">
      <protection locked="0"/>
    </xf>
    <xf numFmtId="170" fontId="171" fillId="0" borderId="0" xfId="2" quotePrefix="1" applyNumberFormat="1" applyFont="1" applyFill="1" applyBorder="1" applyAlignment="1">
      <alignment horizontal="right"/>
    </xf>
    <xf numFmtId="166" fontId="171" fillId="0" borderId="15" xfId="2" applyNumberFormat="1" applyFont="1" applyFill="1" applyBorder="1" applyAlignment="1" applyProtection="1">
      <protection locked="0"/>
    </xf>
    <xf numFmtId="170" fontId="62" fillId="0" borderId="0" xfId="2" applyNumberFormat="1" applyFont="1" applyFill="1" applyBorder="1" applyAlignment="1"/>
    <xf numFmtId="164" fontId="171" fillId="0" borderId="0" xfId="1940" applyNumberFormat="1" applyFont="1" applyFill="1" applyAlignment="1"/>
    <xf numFmtId="170" fontId="62" fillId="0" borderId="0" xfId="2" quotePrefix="1" applyNumberFormat="1" applyFont="1" applyFill="1" applyAlignment="1">
      <alignment horizontal="center"/>
    </xf>
    <xf numFmtId="170" fontId="171" fillId="0" borderId="0" xfId="2" quotePrefix="1" applyNumberFormat="1" applyFont="1" applyFill="1" applyBorder="1" applyAlignment="1"/>
    <xf numFmtId="170" fontId="171" fillId="0" borderId="0" xfId="2" quotePrefix="1" applyNumberFormat="1" applyFont="1" applyFill="1" applyAlignment="1"/>
    <xf numFmtId="0" fontId="171" fillId="0" borderId="15" xfId="2" applyNumberFormat="1" applyFont="1" applyFill="1" applyBorder="1" applyAlignment="1"/>
    <xf numFmtId="164" fontId="62" fillId="0" borderId="0" xfId="0" applyNumberFormat="1" applyFont="1" applyFill="1" applyBorder="1" applyAlignment="1" applyProtection="1"/>
    <xf numFmtId="170" fontId="171" fillId="0" borderId="0" xfId="2" quotePrefix="1" applyNumberFormat="1" applyFont="1" applyFill="1" applyAlignment="1">
      <alignment horizontal="center"/>
    </xf>
    <xf numFmtId="0" fontId="171" fillId="0" borderId="0" xfId="2" applyNumberFormat="1" applyFont="1" applyFill="1" applyBorder="1" applyAlignment="1">
      <alignment horizontal="center"/>
    </xf>
    <xf numFmtId="170" fontId="62" fillId="0" borderId="10" xfId="2" quotePrefix="1" applyNumberFormat="1" applyFont="1" applyFill="1" applyBorder="1" applyAlignment="1">
      <alignment horizontal="center"/>
    </xf>
    <xf numFmtId="166" fontId="171" fillId="0" borderId="15" xfId="2" quotePrefix="1" applyNumberFormat="1" applyFont="1" applyFill="1" applyBorder="1" applyAlignment="1" applyProtection="1">
      <alignment horizontal="right"/>
      <protection locked="0"/>
    </xf>
    <xf numFmtId="170" fontId="171" fillId="0" borderId="24" xfId="2" applyNumberFormat="1" applyFont="1" applyFill="1" applyBorder="1" applyAlignment="1">
      <alignment horizontal="center"/>
    </xf>
    <xf numFmtId="170" fontId="171" fillId="0" borderId="0" xfId="2" applyNumberFormat="1" applyFont="1" applyFill="1" applyBorder="1" applyAlignment="1">
      <alignment horizontal="center"/>
    </xf>
    <xf numFmtId="166" fontId="171" fillId="0" borderId="15" xfId="2" applyNumberFormat="1" applyFont="1" applyFill="1" applyBorder="1" applyAlignment="1" applyProtection="1">
      <alignment horizontal="center"/>
      <protection locked="0"/>
    </xf>
    <xf numFmtId="174" fontId="67" fillId="0" borderId="20" xfId="2" quotePrefix="1" applyNumberFormat="1" applyFont="1" applyFill="1" applyBorder="1" applyAlignment="1"/>
    <xf numFmtId="174" fontId="67" fillId="0" borderId="0" xfId="2" applyNumberFormat="1" applyFont="1" applyFill="1" applyBorder="1" applyAlignment="1">
      <alignment horizontal="right"/>
    </xf>
    <xf numFmtId="174" fontId="67" fillId="0" borderId="0" xfId="2" applyNumberFormat="1" applyFont="1" applyFill="1" applyBorder="1" applyAlignment="1" applyProtection="1">
      <protection locked="0"/>
    </xf>
    <xf numFmtId="180" fontId="37" fillId="0" borderId="0" xfId="1767" applyNumberFormat="1" applyFont="1" applyFill="1" applyAlignment="1">
      <alignment horizontal="left"/>
    </xf>
    <xf numFmtId="177" fontId="37" fillId="0" borderId="0" xfId="1767" applyNumberFormat="1" applyFont="1" applyFill="1" applyAlignment="1">
      <alignment horizontal="right"/>
    </xf>
    <xf numFmtId="170" fontId="62" fillId="0" borderId="66" xfId="2" quotePrefix="1" applyNumberFormat="1" applyFont="1" applyFill="1" applyBorder="1" applyAlignment="1">
      <alignment horizontal="right"/>
    </xf>
    <xf numFmtId="170" fontId="62" fillId="0" borderId="0" xfId="2" quotePrefix="1" applyNumberFormat="1" applyFont="1" applyFill="1" applyBorder="1" applyAlignment="1">
      <alignment horizontal="right"/>
    </xf>
    <xf numFmtId="170" fontId="171" fillId="0" borderId="0" xfId="2" applyNumberFormat="1" applyFont="1" applyFill="1" applyBorder="1" applyAlignment="1"/>
    <xf numFmtId="170" fontId="37" fillId="0" borderId="0" xfId="2" applyNumberFormat="1" applyFont="1" applyFill="1" applyBorder="1" applyAlignment="1">
      <alignment horizontal="center"/>
    </xf>
    <xf numFmtId="177" fontId="37" fillId="0" borderId="0" xfId="1767" applyNumberFormat="1" applyFont="1" applyFill="1" applyAlignment="1">
      <alignment horizontal="left"/>
    </xf>
    <xf numFmtId="180" fontId="62" fillId="0" borderId="0" xfId="1767" applyNumberFormat="1" applyFont="1" applyFill="1" applyAlignment="1">
      <alignment horizontal="left"/>
    </xf>
    <xf numFmtId="177" fontId="62" fillId="0" borderId="0" xfId="1767" applyNumberFormat="1" applyFont="1" applyFill="1" applyAlignment="1">
      <alignment horizontal="right"/>
    </xf>
    <xf numFmtId="177" fontId="62" fillId="0" borderId="0" xfId="740" applyNumberFormat="1" applyFont="1" applyAlignment="1">
      <alignment horizontal="right"/>
    </xf>
    <xf numFmtId="180" fontId="62" fillId="0" borderId="0" xfId="740" applyNumberFormat="1" applyFont="1" applyFill="1" applyAlignment="1">
      <alignment horizontal="center"/>
    </xf>
    <xf numFmtId="177" fontId="62" fillId="0" borderId="0" xfId="1767" applyNumberFormat="1" applyFont="1" applyFill="1" applyAlignment="1">
      <alignment horizontal="left"/>
    </xf>
    <xf numFmtId="177" fontId="62" fillId="0" borderId="0" xfId="740" applyNumberFormat="1" applyFont="1" applyFill="1" applyAlignment="1">
      <alignment horizontal="center"/>
    </xf>
    <xf numFmtId="180" fontId="62" fillId="0" borderId="66" xfId="1767" applyNumberFormat="1" applyFont="1" applyFill="1" applyBorder="1" applyAlignment="1">
      <alignment horizontal="left"/>
    </xf>
    <xf numFmtId="177" fontId="62" fillId="0" borderId="66" xfId="1767" applyNumberFormat="1" applyFont="1" applyFill="1" applyBorder="1" applyAlignment="1">
      <alignment horizontal="left"/>
    </xf>
    <xf numFmtId="177" fontId="62" fillId="0" borderId="66" xfId="740" applyNumberFormat="1" applyFont="1" applyFill="1" applyBorder="1" applyAlignment="1">
      <alignment horizontal="center"/>
    </xf>
    <xf numFmtId="170" fontId="62" fillId="0" borderId="21" xfId="2" applyNumberFormat="1" applyFont="1" applyFill="1" applyBorder="1" applyAlignment="1"/>
    <xf numFmtId="170" fontId="62" fillId="0" borderId="13" xfId="2" applyNumberFormat="1" applyFont="1" applyFill="1" applyBorder="1" applyAlignment="1"/>
    <xf numFmtId="170" fontId="67" fillId="0" borderId="0" xfId="2" quotePrefix="1" applyNumberFormat="1" applyFont="1" applyFill="1" applyAlignment="1">
      <alignment horizontal="right"/>
    </xf>
    <xf numFmtId="170" fontId="171" fillId="0" borderId="66" xfId="2" applyNumberFormat="1" applyFont="1" applyFill="1" applyBorder="1" applyAlignment="1"/>
    <xf numFmtId="164" fontId="171" fillId="0" borderId="66" xfId="1940" applyNumberFormat="1" applyFont="1" applyFill="1" applyBorder="1" applyAlignment="1"/>
    <xf numFmtId="170" fontId="77" fillId="0" borderId="0" xfId="2" quotePrefix="1" applyNumberFormat="1" applyFont="1" applyAlignment="1">
      <alignment horizontal="right"/>
    </xf>
    <xf numFmtId="170" fontId="77" fillId="0" borderId="0" xfId="2" applyNumberFormat="1" applyFont="1" applyFill="1" applyAlignment="1">
      <alignment horizontal="right"/>
    </xf>
    <xf numFmtId="170" fontId="77" fillId="0" borderId="84" xfId="2" applyNumberFormat="1" applyFont="1" applyBorder="1" applyAlignment="1">
      <alignment horizontal="right"/>
    </xf>
    <xf numFmtId="166" fontId="80" fillId="0" borderId="0" xfId="2" applyNumberFormat="1" applyFont="1" applyFill="1" applyAlignment="1"/>
    <xf numFmtId="166" fontId="77" fillId="0" borderId="0" xfId="2" applyNumberFormat="1" applyFont="1" applyFill="1" applyAlignment="1"/>
    <xf numFmtId="170" fontId="79" fillId="0" borderId="0" xfId="2" applyNumberFormat="1" applyFont="1" applyFill="1" applyAlignment="1">
      <alignment horizontal="right"/>
    </xf>
    <xf numFmtId="170" fontId="77" fillId="0" borderId="21" xfId="2" applyNumberFormat="1" applyFont="1" applyFill="1" applyBorder="1" applyAlignment="1"/>
    <xf numFmtId="166" fontId="171" fillId="0" borderId="15" xfId="2" applyNumberFormat="1" applyFont="1" applyFill="1" applyBorder="1" applyAlignment="1"/>
    <xf numFmtId="174" fontId="171" fillId="0" borderId="0" xfId="2" applyNumberFormat="1" applyFont="1" applyFill="1" applyBorder="1" applyAlignment="1"/>
    <xf numFmtId="169" fontId="171" fillId="0" borderId="0" xfId="2" applyNumberFormat="1" applyFont="1" applyFill="1" applyBorder="1" applyAlignment="1"/>
    <xf numFmtId="164" fontId="171" fillId="0" borderId="0" xfId="1940" applyNumberFormat="1" applyFont="1" applyFill="1" applyBorder="1" applyAlignment="1"/>
    <xf numFmtId="166" fontId="66" fillId="0" borderId="0" xfId="2" applyNumberFormat="1" applyFont="1" applyFill="1" applyAlignment="1"/>
    <xf numFmtId="165" fontId="64" fillId="0" borderId="0" xfId="2" applyNumberFormat="1" applyFont="1" applyFill="1" applyAlignment="1"/>
    <xf numFmtId="0" fontId="39" fillId="0" borderId="20" xfId="2" applyNumberFormat="1" applyFont="1" applyFill="1" applyBorder="1" applyAlignment="1"/>
    <xf numFmtId="0" fontId="39" fillId="0" borderId="0" xfId="2" applyFont="1" applyFill="1" applyAlignment="1"/>
    <xf numFmtId="0" fontId="39" fillId="0" borderId="0" xfId="2" applyFont="1" applyFill="1" applyBorder="1" applyAlignment="1"/>
    <xf numFmtId="170" fontId="37" fillId="0" borderId="10" xfId="2" quotePrefix="1" applyNumberFormat="1" applyFont="1" applyFill="1" applyBorder="1" applyAlignment="1">
      <alignment horizontal="right"/>
    </xf>
    <xf numFmtId="170" fontId="37" fillId="0" borderId="0" xfId="2" quotePrefix="1" applyNumberFormat="1" applyFont="1" applyFill="1" applyBorder="1" applyAlignment="1"/>
    <xf numFmtId="0" fontId="64" fillId="0" borderId="0" xfId="2" applyNumberFormat="1" applyFont="1" applyFill="1" applyAlignment="1"/>
    <xf numFmtId="170" fontId="44" fillId="0" borderId="95" xfId="2" quotePrefix="1" applyNumberFormat="1" applyFont="1" applyFill="1" applyBorder="1" applyAlignment="1"/>
    <xf numFmtId="177" fontId="37" fillId="0" borderId="0" xfId="0" applyNumberFormat="1" applyFont="1" applyFill="1" applyAlignment="1">
      <alignment horizontal="center"/>
    </xf>
    <xf numFmtId="164" fontId="0" fillId="0" borderId="0" xfId="0" applyFill="1"/>
    <xf numFmtId="177" fontId="100" fillId="0" borderId="0" xfId="1767" applyNumberFormat="1" applyFont="1" applyFill="1" applyAlignment="1"/>
    <xf numFmtId="177" fontId="37" fillId="0" borderId="0" xfId="740" applyNumberFormat="1" applyFont="1" applyFill="1" applyAlignment="1">
      <alignment horizontal="right"/>
    </xf>
    <xf numFmtId="177" fontId="37" fillId="0" borderId="0" xfId="1767" applyNumberFormat="1" applyFont="1" applyFill="1" applyAlignment="1">
      <alignment horizontal="center"/>
    </xf>
    <xf numFmtId="177" fontId="37" fillId="0" borderId="0" xfId="1767" applyNumberFormat="1" applyFont="1" applyFill="1" applyAlignment="1"/>
    <xf numFmtId="177" fontId="37" fillId="0" borderId="0" xfId="1767" quotePrefix="1" applyNumberFormat="1" applyFont="1" applyFill="1" applyAlignment="1">
      <alignment horizontal="center"/>
    </xf>
    <xf numFmtId="177" fontId="37" fillId="0" borderId="0" xfId="740" quotePrefix="1" applyNumberFormat="1" applyFont="1" applyFill="1" applyAlignment="1">
      <alignment horizontal="center"/>
    </xf>
    <xf numFmtId="177" fontId="0" fillId="0" borderId="0" xfId="0" applyNumberFormat="1" applyFill="1"/>
    <xf numFmtId="170" fontId="37" fillId="0" borderId="75" xfId="2" applyNumberFormat="1" applyFont="1" applyFill="1" applyBorder="1" applyAlignment="1"/>
    <xf numFmtId="166" fontId="37" fillId="0" borderId="0" xfId="2" applyNumberFormat="1" applyFont="1" applyFill="1" applyBorder="1"/>
    <xf numFmtId="164" fontId="37" fillId="0" borderId="0" xfId="0" applyNumberFormat="1" applyFont="1" applyFill="1" applyBorder="1" applyAlignment="1" applyProtection="1"/>
    <xf numFmtId="164" fontId="37" fillId="0" borderId="0" xfId="0" applyNumberFormat="1" applyFont="1" applyFill="1" applyBorder="1" applyAlignment="1" applyProtection="1">
      <protection locked="0"/>
    </xf>
    <xf numFmtId="0" fontId="39" fillId="0" borderId="0" xfId="2" quotePrefix="1" applyNumberFormat="1" applyFont="1" applyFill="1" applyAlignment="1">
      <alignment horizontal="left"/>
    </xf>
    <xf numFmtId="164" fontId="39" fillId="0" borderId="0" xfId="0" applyNumberFormat="1" applyFont="1" applyFill="1" applyBorder="1" applyAlignment="1" applyProtection="1">
      <protection locked="0"/>
    </xf>
    <xf numFmtId="170" fontId="37" fillId="0" borderId="66" xfId="2" quotePrefix="1" applyNumberFormat="1" applyFont="1" applyFill="1" applyBorder="1" applyAlignment="1"/>
    <xf numFmtId="164" fontId="39" fillId="0" borderId="66" xfId="0" applyNumberFormat="1" applyFont="1" applyFill="1" applyBorder="1" applyAlignment="1" applyProtection="1">
      <protection locked="0"/>
    </xf>
    <xf numFmtId="172" fontId="37" fillId="0" borderId="0" xfId="0" applyNumberFormat="1" applyFont="1" applyFill="1" applyBorder="1" applyAlignment="1" applyProtection="1"/>
    <xf numFmtId="164" fontId="37" fillId="0" borderId="0" xfId="7" applyNumberFormat="1" applyFont="1" applyFill="1" applyAlignment="1">
      <alignment horizontal="right"/>
    </xf>
    <xf numFmtId="164" fontId="0" fillId="0" borderId="66" xfId="2" applyNumberFormat="1" applyFont="1" applyFill="1" applyBorder="1"/>
    <xf numFmtId="174" fontId="59" fillId="0" borderId="0" xfId="2" applyNumberFormat="1" applyFont="1" applyFill="1" applyAlignment="1"/>
    <xf numFmtId="170" fontId="60" fillId="0" borderId="20" xfId="2" applyNumberFormat="1" applyFont="1" applyBorder="1" applyAlignment="1"/>
    <xf numFmtId="170" fontId="59" fillId="0" borderId="17" xfId="2" applyNumberFormat="1" applyFont="1" applyBorder="1" applyAlignment="1"/>
    <xf numFmtId="41" fontId="44" fillId="0" borderId="95" xfId="840" applyNumberFormat="1" applyFont="1" applyFill="1" applyBorder="1" applyAlignment="1"/>
    <xf numFmtId="165" fontId="40" fillId="0" borderId="0" xfId="840" applyNumberFormat="1" applyFont="1" applyFill="1" applyAlignment="1" applyProtection="1">
      <protection locked="0"/>
    </xf>
    <xf numFmtId="165" fontId="66" fillId="0" borderId="0" xfId="840" applyNumberFormat="1" applyFont="1" applyFill="1" applyAlignment="1"/>
    <xf numFmtId="165" fontId="68" fillId="0" borderId="0" xfId="840" applyNumberFormat="1" applyFont="1" applyFill="1" applyAlignment="1">
      <alignment horizontal="left"/>
    </xf>
    <xf numFmtId="165" fontId="109" fillId="0" borderId="0" xfId="840" applyNumberFormat="1" applyFont="1" applyFill="1" applyAlignment="1">
      <alignment horizontal="right"/>
    </xf>
    <xf numFmtId="39" fontId="42" fillId="0" borderId="0" xfId="840" applyNumberFormat="1" applyFont="1" applyFill="1" applyAlignment="1"/>
    <xf numFmtId="40" fontId="42" fillId="0" borderId="0" xfId="840" applyNumberFormat="1" applyFont="1" applyFill="1" applyAlignment="1"/>
    <xf numFmtId="39" fontId="66" fillId="0" borderId="0" xfId="19" applyNumberFormat="1" applyFont="1" applyFill="1" applyAlignment="1"/>
    <xf numFmtId="190" fontId="109" fillId="0" borderId="0" xfId="11" applyNumberFormat="1" applyFont="1" applyFill="1" applyAlignment="1">
      <alignment horizontal="right"/>
    </xf>
    <xf numFmtId="190" fontId="163" fillId="0" borderId="0" xfId="11" applyNumberFormat="1" applyFont="1" applyFill="1" applyAlignment="1">
      <alignment horizontal="right"/>
    </xf>
    <xf numFmtId="40" fontId="37" fillId="0" borderId="0" xfId="840" applyNumberFormat="1" applyFont="1" applyFill="1" applyAlignment="1">
      <alignment horizontal="center"/>
    </xf>
    <xf numFmtId="40" fontId="44" fillId="0" borderId="0" xfId="840" applyNumberFormat="1" applyFont="1" applyFill="1" applyAlignment="1"/>
    <xf numFmtId="190" fontId="37" fillId="0" borderId="0" xfId="11" applyNumberFormat="1" applyFont="1" applyFill="1" applyAlignment="1">
      <alignment horizontal="center"/>
    </xf>
    <xf numFmtId="165" fontId="76" fillId="0" borderId="0" xfId="840" applyNumberFormat="1" applyFont="1" applyFill="1" applyAlignment="1">
      <alignment horizontal="right"/>
    </xf>
    <xf numFmtId="0" fontId="68" fillId="0" borderId="0" xfId="840" applyNumberFormat="1" applyFont="1" applyFill="1" applyAlignment="1">
      <alignment horizontal="left"/>
    </xf>
    <xf numFmtId="0" fontId="68" fillId="0" borderId="0" xfId="840" quotePrefix="1" applyNumberFormat="1" applyFont="1" applyFill="1" applyAlignment="1">
      <alignment horizontal="left"/>
    </xf>
    <xf numFmtId="0" fontId="67" fillId="0" borderId="0" xfId="840" applyNumberFormat="1" applyFont="1" applyFill="1" applyAlignment="1"/>
    <xf numFmtId="40" fontId="37" fillId="0" borderId="0" xfId="840" quotePrefix="1" applyNumberFormat="1" applyFont="1" applyFill="1" applyAlignment="1">
      <alignment horizontal="center"/>
    </xf>
    <xf numFmtId="165" fontId="42" fillId="0" borderId="0" xfId="840" applyNumberFormat="1" applyFont="1" applyFill="1" applyAlignment="1"/>
    <xf numFmtId="40" fontId="44" fillId="0" borderId="0" xfId="840" quotePrefix="1" applyNumberFormat="1" applyFont="1" applyFill="1" applyBorder="1" applyAlignment="1">
      <alignment horizontal="left"/>
    </xf>
    <xf numFmtId="40" fontId="44" fillId="0" borderId="0" xfId="840" applyNumberFormat="1" applyFont="1" applyFill="1" applyBorder="1" applyAlignment="1">
      <alignment horizontal="left"/>
    </xf>
    <xf numFmtId="165" fontId="37" fillId="0" borderId="0" xfId="840" applyNumberFormat="1" applyFont="1" applyFill="1" applyAlignment="1"/>
    <xf numFmtId="0" fontId="44" fillId="0" borderId="0" xfId="840" quotePrefix="1" applyNumberFormat="1" applyFont="1" applyFill="1" applyAlignment="1">
      <alignment horizontal="center"/>
    </xf>
    <xf numFmtId="39" fontId="44" fillId="0" borderId="0" xfId="840" quotePrefix="1" applyNumberFormat="1" applyFont="1" applyFill="1" applyAlignment="1">
      <alignment horizontal="center"/>
    </xf>
    <xf numFmtId="40" fontId="44" fillId="0" borderId="0" xfId="840" applyNumberFormat="1" applyFont="1" applyFill="1" applyAlignment="1">
      <alignment horizontal="center"/>
    </xf>
    <xf numFmtId="40" fontId="44" fillId="0" borderId="0" xfId="840" applyNumberFormat="1" applyFont="1" applyFill="1" applyBorder="1" applyAlignment="1">
      <alignment horizontal="center"/>
    </xf>
    <xf numFmtId="186" fontId="44" fillId="0" borderId="0" xfId="840" quotePrefix="1" applyNumberFormat="1" applyFont="1" applyFill="1" applyBorder="1" applyAlignment="1">
      <alignment horizontal="center"/>
    </xf>
    <xf numFmtId="39" fontId="37" fillId="0" borderId="20" xfId="840" applyNumberFormat="1" applyFont="1" applyFill="1" applyBorder="1" applyAlignment="1"/>
    <xf numFmtId="39" fontId="37" fillId="0" borderId="0" xfId="840" applyNumberFormat="1" applyFont="1" applyFill="1" applyBorder="1" applyAlignment="1"/>
    <xf numFmtId="40" fontId="37" fillId="0" borderId="0" xfId="840" applyNumberFormat="1" applyFont="1" applyFill="1" applyAlignment="1"/>
    <xf numFmtId="190" fontId="37" fillId="0" borderId="20" xfId="11" applyNumberFormat="1" applyFont="1" applyFill="1" applyBorder="1" applyAlignment="1"/>
    <xf numFmtId="165" fontId="66" fillId="0" borderId="0" xfId="840" applyNumberFormat="1" applyFont="1" applyFill="1" applyBorder="1" applyAlignment="1"/>
    <xf numFmtId="42" fontId="37" fillId="0" borderId="0" xfId="840" applyNumberFormat="1" applyFont="1" applyFill="1" applyAlignment="1"/>
    <xf numFmtId="165" fontId="76" fillId="0" borderId="0" xfId="840" applyNumberFormat="1" applyFont="1" applyFill="1" applyAlignment="1"/>
    <xf numFmtId="0" fontId="37" fillId="0" borderId="0" xfId="840" applyNumberFormat="1" applyFont="1" applyFill="1" applyAlignment="1"/>
    <xf numFmtId="37" fontId="37" fillId="0" borderId="0" xfId="840" applyNumberFormat="1" applyFont="1" applyFill="1" applyBorder="1" applyAlignment="1"/>
    <xf numFmtId="190" fontId="37" fillId="0" borderId="0" xfId="11" applyNumberFormat="1" applyFont="1" applyFill="1" applyAlignment="1"/>
    <xf numFmtId="41" fontId="37" fillId="0" borderId="0" xfId="840" applyNumberFormat="1" applyFont="1" applyFill="1" applyAlignment="1">
      <alignment horizontal="center"/>
    </xf>
    <xf numFmtId="41" fontId="44" fillId="0" borderId="0" xfId="840" applyNumberFormat="1" applyFont="1" applyFill="1" applyAlignment="1"/>
    <xf numFmtId="43" fontId="76" fillId="0" borderId="0" xfId="11" applyFont="1" applyFill="1" applyAlignment="1"/>
    <xf numFmtId="43" fontId="66" fillId="0" borderId="0" xfId="11" applyFont="1" applyFill="1" applyAlignment="1"/>
    <xf numFmtId="41" fontId="66" fillId="0" borderId="0" xfId="840" applyNumberFormat="1" applyFont="1" applyFill="1" applyAlignment="1"/>
    <xf numFmtId="41" fontId="44" fillId="0" borderId="95" xfId="840" quotePrefix="1" applyNumberFormat="1" applyFont="1" applyFill="1" applyBorder="1" applyAlignment="1"/>
    <xf numFmtId="41" fontId="44" fillId="0" borderId="16" xfId="840" quotePrefix="1" applyNumberFormat="1" applyFont="1" applyFill="1" applyBorder="1" applyAlignment="1"/>
    <xf numFmtId="41" fontId="37" fillId="0" borderId="84" xfId="840" quotePrefix="1" applyNumberFormat="1" applyFont="1" applyFill="1" applyBorder="1" applyAlignment="1">
      <alignment horizontal="center"/>
    </xf>
    <xf numFmtId="41" fontId="37" fillId="0" borderId="19" xfId="11" applyNumberFormat="1" applyFont="1" applyFill="1" applyBorder="1" applyAlignment="1"/>
    <xf numFmtId="41" fontId="44" fillId="0" borderId="66" xfId="840" applyNumberFormat="1" applyFont="1" applyFill="1" applyBorder="1" applyAlignment="1"/>
    <xf numFmtId="190" fontId="37" fillId="0" borderId="0" xfId="11" applyNumberFormat="1" applyFont="1" applyFill="1" applyBorder="1" applyAlignment="1"/>
    <xf numFmtId="42" fontId="44" fillId="0" borderId="81" xfId="840" applyNumberFormat="1" applyFont="1" applyFill="1" applyBorder="1" applyAlignment="1"/>
    <xf numFmtId="42" fontId="44" fillId="0" borderId="17" xfId="840" applyNumberFormat="1" applyFont="1" applyFill="1" applyBorder="1" applyAlignment="1"/>
    <xf numFmtId="40" fontId="37" fillId="0" borderId="0" xfId="840" applyNumberFormat="1" applyFont="1" applyFill="1" applyBorder="1" applyAlignment="1"/>
    <xf numFmtId="0" fontId="42" fillId="0" borderId="0" xfId="840" applyNumberFormat="1" applyFont="1" applyFill="1" applyAlignment="1">
      <alignment horizontal="left"/>
    </xf>
    <xf numFmtId="39" fontId="37" fillId="0" borderId="0" xfId="840" applyNumberFormat="1" applyFont="1" applyFill="1" applyAlignment="1"/>
    <xf numFmtId="0" fontId="62" fillId="0" borderId="0" xfId="840" quotePrefix="1" applyNumberFormat="1" applyFont="1" applyFill="1" applyAlignment="1">
      <alignment horizontal="left"/>
    </xf>
    <xf numFmtId="190" fontId="42" fillId="0" borderId="0" xfId="11" applyNumberFormat="1" applyFont="1" applyFill="1" applyAlignment="1"/>
    <xf numFmtId="40" fontId="66" fillId="0" borderId="0" xfId="19" applyNumberFormat="1" applyFont="1" applyFill="1" applyAlignment="1"/>
    <xf numFmtId="190" fontId="66" fillId="0" borderId="0" xfId="11" applyNumberFormat="1" applyFont="1" applyFill="1" applyAlignment="1"/>
    <xf numFmtId="174" fontId="37" fillId="0" borderId="0" xfId="0" applyNumberFormat="1" applyFont="1" applyFill="1" applyAlignment="1" applyProtection="1"/>
    <xf numFmtId="174" fontId="37" fillId="0" borderId="0" xfId="0" applyNumberFormat="1" applyFont="1" applyFill="1" applyBorder="1" applyAlignment="1" applyProtection="1">
      <protection locked="0"/>
    </xf>
    <xf numFmtId="170" fontId="37" fillId="0" borderId="0" xfId="0" quotePrefix="1" applyNumberFormat="1" applyFont="1" applyFill="1" applyAlignment="1" applyProtection="1">
      <alignment horizontal="right"/>
    </xf>
    <xf numFmtId="170" fontId="37" fillId="0" borderId="0" xfId="0" quotePrefix="1" applyNumberFormat="1" applyFont="1" applyFill="1" applyBorder="1" applyAlignment="1" applyProtection="1">
      <protection locked="0"/>
    </xf>
    <xf numFmtId="170" fontId="37" fillId="0" borderId="0" xfId="0" quotePrefix="1" applyNumberFormat="1" applyFont="1" applyFill="1" applyBorder="1" applyAlignment="1"/>
    <xf numFmtId="170" fontId="37" fillId="0" borderId="0" xfId="0" quotePrefix="1" applyNumberFormat="1" applyFont="1" applyFill="1" applyAlignment="1" applyProtection="1">
      <alignment horizontal="center"/>
    </xf>
    <xf numFmtId="170" fontId="37" fillId="0" borderId="0"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xf numFmtId="170" fontId="39" fillId="0" borderId="0" xfId="2" applyNumberFormat="1" applyFont="1" applyFill="1" applyBorder="1"/>
    <xf numFmtId="172" fontId="0" fillId="0" borderId="0" xfId="0" applyNumberFormat="1" applyFont="1" applyFill="1" applyBorder="1" applyAlignment="1" applyProtection="1"/>
    <xf numFmtId="170" fontId="39" fillId="0" borderId="0" xfId="1" quotePrefix="1" applyNumberFormat="1" applyFont="1" applyFill="1" applyAlignment="1"/>
    <xf numFmtId="170" fontId="37" fillId="0" borderId="0" xfId="1" quotePrefix="1" applyNumberFormat="1" applyFont="1" applyFill="1" applyAlignment="1"/>
    <xf numFmtId="170" fontId="0" fillId="0" borderId="0" xfId="0" applyNumberFormat="1" applyFill="1"/>
    <xf numFmtId="170" fontId="37" fillId="0" borderId="66" xfId="2" applyNumberFormat="1" applyFont="1" applyFill="1" applyBorder="1" applyAlignment="1">
      <alignment horizontal="center"/>
    </xf>
    <xf numFmtId="170" fontId="39" fillId="0" borderId="10" xfId="2" applyNumberFormat="1" applyFont="1" applyFill="1" applyBorder="1" applyAlignment="1"/>
    <xf numFmtId="170" fontId="44" fillId="0" borderId="0" xfId="2" applyNumberFormat="1" applyFont="1" applyFill="1" applyBorder="1"/>
    <xf numFmtId="170" fontId="44" fillId="0" borderId="10" xfId="1" applyNumberFormat="1" applyFont="1" applyFill="1" applyBorder="1" applyAlignment="1"/>
    <xf numFmtId="169" fontId="0" fillId="0" borderId="0" xfId="2" applyNumberFormat="1" applyFont="1" applyFill="1"/>
    <xf numFmtId="165" fontId="37" fillId="0" borderId="0" xfId="0" applyNumberFormat="1" applyFont="1" applyFill="1" applyAlignment="1"/>
    <xf numFmtId="0" fontId="39" fillId="0" borderId="0" xfId="2" applyNumberFormat="1" applyFont="1" applyFill="1" applyAlignment="1">
      <alignment horizontal="left"/>
    </xf>
    <xf numFmtId="174" fontId="37" fillId="0" borderId="0" xfId="5517" applyNumberFormat="1" applyFont="1" applyFill="1"/>
    <xf numFmtId="166" fontId="37" fillId="0" borderId="0" xfId="2" applyNumberFormat="1" applyFont="1" applyFill="1" applyAlignment="1">
      <alignment horizontal="right"/>
    </xf>
    <xf numFmtId="164" fontId="0" fillId="0" borderId="0" xfId="2" applyNumberFormat="1" applyFont="1" applyFill="1" applyBorder="1" applyProtection="1"/>
    <xf numFmtId="170" fontId="37" fillId="0" borderId="66" xfId="0" quotePrefix="1" applyNumberFormat="1" applyFont="1" applyFill="1" applyBorder="1" applyAlignment="1" applyProtection="1">
      <alignment horizontal="right"/>
      <protection locked="0"/>
    </xf>
    <xf numFmtId="170" fontId="37" fillId="0" borderId="66" xfId="2" applyNumberFormat="1" applyFont="1" applyFill="1" applyBorder="1" applyAlignment="1"/>
    <xf numFmtId="174" fontId="37" fillId="0" borderId="0" xfId="0" quotePrefix="1" applyNumberFormat="1" applyFont="1" applyFill="1" applyAlignment="1" applyProtection="1">
      <alignment horizontal="left"/>
    </xf>
    <xf numFmtId="170" fontId="37" fillId="0" borderId="0" xfId="0" quotePrefix="1" applyNumberFormat="1" applyFont="1" applyFill="1" applyBorder="1" applyAlignment="1" applyProtection="1">
      <alignment horizontal="center"/>
      <protection locked="0"/>
    </xf>
    <xf numFmtId="170" fontId="44" fillId="0" borderId="85" xfId="0" applyNumberFormat="1" applyFont="1" applyFill="1" applyBorder="1" applyAlignment="1" applyProtection="1"/>
    <xf numFmtId="170" fontId="44" fillId="0" borderId="0" xfId="0" quotePrefix="1" applyNumberFormat="1" applyFont="1" applyFill="1" applyBorder="1" applyAlignment="1" applyProtection="1">
      <protection locked="0"/>
    </xf>
    <xf numFmtId="170" fontId="37" fillId="0" borderId="82" xfId="0" quotePrefix="1" applyNumberFormat="1" applyFont="1" applyFill="1" applyBorder="1" applyAlignment="1" applyProtection="1">
      <alignment horizontal="center"/>
    </xf>
    <xf numFmtId="170" fontId="37" fillId="0" borderId="82" xfId="0" quotePrefix="1" applyNumberFormat="1" applyFont="1" applyFill="1" applyBorder="1" applyAlignment="1" applyProtection="1">
      <alignment horizontal="center"/>
      <protection locked="0"/>
    </xf>
    <xf numFmtId="170" fontId="44" fillId="0" borderId="82" xfId="0" applyNumberFormat="1" applyFont="1" applyFill="1" applyBorder="1" applyAlignment="1" applyProtection="1"/>
    <xf numFmtId="170" fontId="37" fillId="0" borderId="82" xfId="0" applyNumberFormat="1" applyFont="1" applyFill="1" applyBorder="1" applyAlignment="1" applyProtection="1"/>
    <xf numFmtId="170" fontId="37" fillId="0" borderId="82" xfId="0" applyNumberFormat="1" applyFont="1" applyFill="1" applyBorder="1" applyAlignment="1" applyProtection="1">
      <protection locked="0"/>
    </xf>
    <xf numFmtId="170" fontId="44" fillId="0" borderId="82" xfId="0" quotePrefix="1" applyNumberFormat="1" applyFont="1" applyFill="1" applyBorder="1" applyAlignment="1" applyProtection="1">
      <alignment horizontal="center"/>
    </xf>
    <xf numFmtId="170" fontId="44" fillId="0" borderId="82" xfId="0" quotePrefix="1" applyNumberFormat="1" applyFont="1" applyFill="1" applyBorder="1" applyAlignment="1" applyProtection="1">
      <alignment horizontal="center"/>
      <protection locked="0"/>
    </xf>
    <xf numFmtId="170" fontId="37" fillId="0" borderId="0" xfId="0" quotePrefix="1" applyNumberFormat="1" applyFont="1" applyFill="1" applyBorder="1" applyAlignment="1" applyProtection="1">
      <alignment horizontal="right"/>
    </xf>
    <xf numFmtId="170" fontId="37" fillId="0" borderId="0" xfId="0" quotePrefix="1" applyNumberFormat="1" applyFont="1" applyFill="1" applyAlignment="1" applyProtection="1"/>
    <xf numFmtId="167" fontId="39" fillId="0" borderId="0" xfId="0" applyNumberFormat="1" applyFont="1" applyFill="1" applyBorder="1" applyAlignment="1" applyProtection="1"/>
    <xf numFmtId="9" fontId="42" fillId="0" borderId="0" xfId="2" applyNumberFormat="1" applyFont="1" applyFill="1" applyAlignment="1"/>
    <xf numFmtId="166" fontId="39" fillId="0" borderId="47" xfId="2" applyNumberFormat="1" applyFont="1" applyFill="1" applyBorder="1" applyAlignment="1"/>
    <xf numFmtId="165" fontId="37" fillId="0" borderId="0" xfId="2" applyNumberFormat="1" applyFont="1" applyFill="1" applyAlignment="1">
      <alignment horizontal="right"/>
    </xf>
    <xf numFmtId="164" fontId="37" fillId="0" borderId="0" xfId="2" applyNumberFormat="1" applyFont="1" applyFill="1" applyAlignment="1" applyProtection="1">
      <alignment horizontal="right"/>
    </xf>
    <xf numFmtId="164" fontId="37" fillId="0" borderId="66" xfId="0" applyNumberFormat="1" applyFont="1" applyFill="1" applyBorder="1" applyAlignment="1" applyProtection="1"/>
    <xf numFmtId="3" fontId="39" fillId="0" borderId="0" xfId="2" applyNumberFormat="1" applyFont="1" applyFill="1" applyAlignment="1"/>
    <xf numFmtId="3" fontId="39" fillId="0" borderId="0" xfId="2" applyNumberFormat="1" applyFont="1" applyFill="1" applyAlignment="1">
      <alignment horizontal="left"/>
    </xf>
    <xf numFmtId="164" fontId="37" fillId="0" borderId="0" xfId="2" applyNumberFormat="1" applyFont="1" applyFill="1" applyBorder="1" applyAlignment="1" applyProtection="1">
      <alignment horizontal="right"/>
    </xf>
    <xf numFmtId="194" fontId="37" fillId="0" borderId="0" xfId="2" applyNumberFormat="1" applyFont="1" applyFill="1" applyAlignment="1"/>
    <xf numFmtId="165" fontId="39" fillId="0" borderId="0" xfId="2" applyNumberFormat="1" applyFont="1" applyFill="1" applyAlignment="1">
      <alignment horizontal="left"/>
    </xf>
    <xf numFmtId="170" fontId="64" fillId="0" borderId="0" xfId="2" applyNumberFormat="1" applyFont="1" applyFill="1" applyBorder="1" applyAlignment="1"/>
    <xf numFmtId="164" fontId="37" fillId="0" borderId="0" xfId="2" applyNumberFormat="1" applyFont="1" applyFill="1" applyBorder="1" applyAlignment="1"/>
    <xf numFmtId="196" fontId="39" fillId="0" borderId="0" xfId="2" applyNumberFormat="1" applyFont="1" applyFill="1" applyAlignment="1"/>
    <xf numFmtId="164" fontId="37" fillId="0" borderId="0" xfId="2" applyNumberFormat="1" applyFont="1" applyFill="1" applyAlignment="1"/>
    <xf numFmtId="170" fontId="37" fillId="0" borderId="19" xfId="2" applyNumberFormat="1" applyFont="1" applyFill="1" applyBorder="1" applyAlignment="1"/>
    <xf numFmtId="164" fontId="37" fillId="0" borderId="19" xfId="2" applyNumberFormat="1" applyFont="1" applyFill="1" applyBorder="1" applyAlignment="1"/>
    <xf numFmtId="170" fontId="44" fillId="0" borderId="47" xfId="2" applyNumberFormat="1" applyFont="1" applyFill="1" applyBorder="1" applyAlignment="1"/>
    <xf numFmtId="164" fontId="44" fillId="0" borderId="66" xfId="2" applyNumberFormat="1" applyFont="1" applyFill="1" applyBorder="1" applyAlignment="1"/>
    <xf numFmtId="170" fontId="39" fillId="0" borderId="47" xfId="2" applyNumberFormat="1" applyFont="1" applyFill="1" applyBorder="1" applyAlignment="1">
      <alignment horizontal="center"/>
    </xf>
    <xf numFmtId="172" fontId="37" fillId="0" borderId="0" xfId="0" applyNumberFormat="1" applyFont="1" applyFill="1" applyBorder="1" applyAlignment="1" applyProtection="1">
      <protection locked="0"/>
    </xf>
    <xf numFmtId="170" fontId="65" fillId="0" borderId="0" xfId="2" applyNumberFormat="1" applyFont="1" applyFill="1" applyAlignment="1"/>
    <xf numFmtId="164" fontId="37" fillId="0" borderId="0" xfId="2" applyNumberFormat="1" applyFont="1" applyFill="1" applyAlignment="1" applyProtection="1"/>
    <xf numFmtId="164" fontId="42" fillId="0" borderId="0" xfId="2" applyNumberFormat="1" applyFont="1" applyFill="1" applyAlignment="1"/>
    <xf numFmtId="164" fontId="44" fillId="0" borderId="45" xfId="2" applyNumberFormat="1" applyFont="1" applyFill="1" applyBorder="1" applyAlignment="1" applyProtection="1"/>
    <xf numFmtId="164" fontId="44" fillId="0" borderId="0" xfId="2" applyNumberFormat="1" applyFont="1" applyFill="1" applyBorder="1" applyAlignment="1" applyProtection="1"/>
    <xf numFmtId="164" fontId="37" fillId="0" borderId="0" xfId="2" applyNumberFormat="1" applyFont="1" applyFill="1" applyAlignment="1" applyProtection="1">
      <protection locked="0"/>
    </xf>
    <xf numFmtId="172" fontId="37" fillId="0" borderId="0" xfId="2" applyNumberFormat="1" applyFont="1" applyFill="1" applyAlignment="1" applyProtection="1">
      <protection locked="0"/>
    </xf>
    <xf numFmtId="0" fontId="47" fillId="0" borderId="0" xfId="2" applyNumberFormat="1" applyFont="1" applyFill="1" applyAlignment="1"/>
    <xf numFmtId="174" fontId="37" fillId="0" borderId="47" xfId="2" applyNumberFormat="1" applyFont="1" applyFill="1" applyBorder="1" applyAlignment="1">
      <alignment horizontal="center"/>
    </xf>
    <xf numFmtId="164" fontId="44" fillId="0" borderId="0" xfId="2" applyNumberFormat="1" applyFont="1" applyFill="1" applyAlignment="1" applyProtection="1">
      <protection locked="0"/>
    </xf>
    <xf numFmtId="165" fontId="43" fillId="0" borderId="0" xfId="2" applyNumberFormat="1" applyFont="1" applyFill="1" applyAlignment="1"/>
    <xf numFmtId="164" fontId="37" fillId="0" borderId="0" xfId="0" applyNumberFormat="1" applyFont="1" applyFill="1" applyProtection="1">
      <protection locked="0"/>
    </xf>
    <xf numFmtId="172" fontId="37" fillId="0" borderId="0" xfId="2" applyNumberFormat="1" applyFont="1" applyFill="1" applyAlignment="1" applyProtection="1"/>
    <xf numFmtId="0" fontId="39" fillId="0" borderId="18" xfId="2" applyNumberFormat="1" applyFont="1" applyBorder="1" applyAlignment="1"/>
    <xf numFmtId="0" fontId="44" fillId="0" borderId="18" xfId="2" applyNumberFormat="1" applyFont="1" applyBorder="1" applyAlignment="1"/>
    <xf numFmtId="0" fontId="39" fillId="0" borderId="18" xfId="2" applyNumberFormat="1" applyFont="1" applyFill="1" applyBorder="1" applyAlignment="1"/>
    <xf numFmtId="169" fontId="44" fillId="0" borderId="18" xfId="2" applyNumberFormat="1" applyFont="1" applyFill="1" applyBorder="1" applyAlignment="1"/>
    <xf numFmtId="170" fontId="44" fillId="0" borderId="18" xfId="2" applyNumberFormat="1" applyFont="1" applyFill="1" applyBorder="1" applyAlignment="1"/>
    <xf numFmtId="170" fontId="37" fillId="0" borderId="15" xfId="0" quotePrefix="1" applyNumberFormat="1" applyFont="1" applyFill="1" applyBorder="1" applyAlignment="1" applyProtection="1">
      <alignment horizontal="right"/>
      <protection locked="0"/>
    </xf>
    <xf numFmtId="170" fontId="66" fillId="0" borderId="15" xfId="2" applyNumberFormat="1" applyFont="1" applyFill="1" applyBorder="1"/>
    <xf numFmtId="170" fontId="37" fillId="0" borderId="10" xfId="2" applyNumberFormat="1" applyFont="1" applyFill="1" applyBorder="1" applyAlignment="1"/>
    <xf numFmtId="165" fontId="37" fillId="0" borderId="0" xfId="0" applyNumberFormat="1" applyFont="1" applyFill="1" applyAlignment="1">
      <alignment horizontal="left"/>
    </xf>
    <xf numFmtId="165" fontId="66" fillId="0" borderId="15" xfId="2" applyNumberFormat="1" applyFont="1" applyFill="1" applyBorder="1"/>
    <xf numFmtId="165" fontId="42" fillId="0" borderId="0" xfId="2" applyNumberFormat="1" applyFont="1" applyFill="1" applyBorder="1" applyAlignment="1"/>
    <xf numFmtId="0" fontId="37" fillId="0" borderId="0" xfId="0" applyNumberFormat="1" applyFont="1" applyFill="1" applyAlignment="1"/>
    <xf numFmtId="166" fontId="37" fillId="0" borderId="0" xfId="0" applyNumberFormat="1" applyFont="1" applyFill="1" applyBorder="1" applyAlignment="1" applyProtection="1">
      <alignment horizontal="center"/>
      <protection locked="0"/>
    </xf>
    <xf numFmtId="174" fontId="37" fillId="0" borderId="0" xfId="0" applyNumberFormat="1" applyFont="1" applyFill="1" applyAlignment="1" applyProtection="1">
      <protection locked="0"/>
    </xf>
    <xf numFmtId="174" fontId="37" fillId="0" borderId="21" xfId="0" applyNumberFormat="1" applyFont="1" applyFill="1" applyBorder="1" applyAlignment="1" applyProtection="1">
      <protection locked="0"/>
    </xf>
    <xf numFmtId="174" fontId="37" fillId="0" borderId="18" xfId="0" applyNumberFormat="1" applyFont="1" applyFill="1" applyBorder="1" applyAlignment="1" applyProtection="1">
      <protection locked="0"/>
    </xf>
    <xf numFmtId="174" fontId="37" fillId="0" borderId="0" xfId="0" quotePrefix="1" applyNumberFormat="1" applyFont="1" applyFill="1" applyBorder="1" applyAlignment="1"/>
    <xf numFmtId="174" fontId="37" fillId="0" borderId="0" xfId="0" quotePrefix="1" applyNumberFormat="1" applyFont="1" applyFill="1" applyBorder="1" applyAlignment="1">
      <alignment horizontal="left"/>
    </xf>
    <xf numFmtId="174" fontId="37" fillId="0" borderId="14" xfId="0" applyNumberFormat="1" applyFont="1" applyFill="1" applyBorder="1" applyAlignment="1" applyProtection="1">
      <protection locked="0"/>
    </xf>
    <xf numFmtId="174" fontId="37" fillId="0" borderId="0" xfId="0" quotePrefix="1" applyNumberFormat="1" applyFont="1" applyFill="1" applyBorder="1" applyAlignment="1" applyProtection="1"/>
    <xf numFmtId="164" fontId="37" fillId="0" borderId="0" xfId="0" quotePrefix="1" applyNumberFormat="1" applyFont="1" applyFill="1" applyBorder="1" applyAlignment="1" applyProtection="1"/>
    <xf numFmtId="165" fontId="64" fillId="0" borderId="0" xfId="0" applyNumberFormat="1" applyFont="1" applyFill="1" applyAlignment="1"/>
    <xf numFmtId="165" fontId="66" fillId="0" borderId="0" xfId="0" applyNumberFormat="1" applyFont="1" applyFill="1" applyAlignment="1"/>
    <xf numFmtId="0" fontId="37" fillId="0" borderId="0" xfId="0" quotePrefix="1" applyNumberFormat="1" applyFont="1" applyFill="1" applyAlignment="1">
      <alignment horizontal="left"/>
    </xf>
    <xf numFmtId="0" fontId="37" fillId="0" borderId="0" xfId="0" quotePrefix="1" applyNumberFormat="1" applyFont="1" applyFill="1" applyAlignment="1">
      <alignment horizontal="center"/>
    </xf>
    <xf numFmtId="170" fontId="37" fillId="0" borderId="21" xfId="0" applyNumberFormat="1" applyFont="1" applyFill="1" applyBorder="1" applyAlignment="1" applyProtection="1">
      <protection locked="0"/>
    </xf>
    <xf numFmtId="170" fontId="37" fillId="0" borderId="0" xfId="0" quotePrefix="1" applyNumberFormat="1" applyFont="1" applyFill="1" applyBorder="1" applyAlignment="1">
      <alignment horizontal="left"/>
    </xf>
    <xf numFmtId="170" fontId="37" fillId="0" borderId="14" xfId="0" applyNumberFormat="1" applyFont="1" applyFill="1" applyBorder="1" applyAlignment="1"/>
    <xf numFmtId="164" fontId="64" fillId="0" borderId="0" xfId="0" applyNumberFormat="1" applyFont="1" applyFill="1" applyAlignment="1" applyProtection="1"/>
    <xf numFmtId="170" fontId="37" fillId="0" borderId="66" xfId="0" quotePrefix="1" applyNumberFormat="1" applyFont="1" applyFill="1" applyBorder="1" applyAlignment="1" applyProtection="1"/>
    <xf numFmtId="164" fontId="64" fillId="0" borderId="66" xfId="0" quotePrefix="1" applyNumberFormat="1" applyFont="1" applyFill="1" applyBorder="1" applyAlignment="1" applyProtection="1">
      <alignment horizontal="right"/>
    </xf>
    <xf numFmtId="0" fontId="44" fillId="0" borderId="0" xfId="0" applyNumberFormat="1" applyFont="1" applyFill="1" applyAlignment="1"/>
    <xf numFmtId="170" fontId="44" fillId="0" borderId="21" xfId="0" applyNumberFormat="1" applyFont="1" applyFill="1" applyBorder="1" applyAlignment="1"/>
    <xf numFmtId="170" fontId="44" fillId="0" borderId="82" xfId="0" quotePrefix="1" applyNumberFormat="1" applyFont="1" applyFill="1" applyBorder="1" applyAlignment="1"/>
    <xf numFmtId="170" fontId="44" fillId="0" borderId="0" xfId="0" quotePrefix="1" applyNumberFormat="1" applyFont="1" applyFill="1" applyBorder="1" applyAlignment="1">
      <alignment horizontal="left"/>
    </xf>
    <xf numFmtId="170" fontId="44" fillId="0" borderId="66" xfId="0" quotePrefix="1" applyNumberFormat="1" applyFont="1" applyFill="1" applyBorder="1" applyAlignment="1" applyProtection="1"/>
    <xf numFmtId="164" fontId="65" fillId="0" borderId="66" xfId="0" applyNumberFormat="1" applyFont="1" applyFill="1" applyBorder="1" applyAlignment="1" applyProtection="1"/>
    <xf numFmtId="165" fontId="65" fillId="0" borderId="0" xfId="0" applyNumberFormat="1" applyFont="1" applyFill="1" applyAlignment="1"/>
    <xf numFmtId="165" fontId="76" fillId="0" borderId="0" xfId="0" applyNumberFormat="1" applyFont="1" applyFill="1" applyAlignment="1"/>
    <xf numFmtId="170" fontId="37" fillId="0" borderId="21" xfId="0" applyNumberFormat="1" applyFont="1" applyFill="1" applyBorder="1" applyAlignment="1"/>
    <xf numFmtId="170" fontId="37" fillId="0" borderId="0" xfId="0" quotePrefix="1" applyNumberFormat="1" applyFont="1" applyFill="1" applyAlignment="1" applyProtection="1">
      <alignment horizontal="center"/>
      <protection locked="0"/>
    </xf>
    <xf numFmtId="164" fontId="64" fillId="0" borderId="66" xfId="0" applyNumberFormat="1" applyFont="1" applyFill="1" applyBorder="1" applyAlignment="1" applyProtection="1"/>
    <xf numFmtId="0" fontId="44" fillId="0" borderId="0" xfId="0" quotePrefix="1" applyNumberFormat="1" applyFont="1" applyFill="1" applyAlignment="1">
      <alignment horizontal="left"/>
    </xf>
    <xf numFmtId="170" fontId="44" fillId="0" borderId="93" xfId="0" quotePrefix="1" applyNumberFormat="1" applyFont="1" applyFill="1" applyBorder="1" applyAlignment="1">
      <alignment horizontal="left"/>
    </xf>
    <xf numFmtId="170" fontId="44" fillId="0" borderId="86" xfId="0" applyNumberFormat="1" applyFont="1" applyFill="1" applyBorder="1" applyAlignment="1" applyProtection="1"/>
    <xf numFmtId="164" fontId="65" fillId="0" borderId="86" xfId="0" applyNumberFormat="1" applyFont="1" applyFill="1" applyBorder="1" applyAlignment="1" applyProtection="1"/>
    <xf numFmtId="165" fontId="37" fillId="0" borderId="0" xfId="0" quotePrefix="1" applyNumberFormat="1" applyFont="1" applyFill="1" applyAlignment="1">
      <alignment horizontal="center"/>
    </xf>
    <xf numFmtId="170" fontId="37" fillId="0" borderId="84" xfId="0" quotePrefix="1" applyNumberFormat="1" applyFont="1" applyFill="1" applyBorder="1" applyAlignment="1"/>
    <xf numFmtId="167" fontId="39" fillId="0" borderId="0" xfId="0" applyNumberFormat="1" applyFont="1" applyFill="1" applyAlignment="1" applyProtection="1">
      <protection locked="0"/>
    </xf>
    <xf numFmtId="170" fontId="39" fillId="0" borderId="0" xfId="0" applyNumberFormat="1" applyFont="1" applyFill="1" applyAlignment="1" applyProtection="1">
      <alignment horizontal="right"/>
      <protection locked="0"/>
    </xf>
    <xf numFmtId="170" fontId="39" fillId="0" borderId="0" xfId="0" applyNumberFormat="1" applyFont="1" applyFill="1" applyAlignment="1" applyProtection="1">
      <alignment horizontal="center"/>
      <protection locked="0"/>
    </xf>
    <xf numFmtId="170" fontId="48" fillId="0" borderId="0" xfId="0" applyNumberFormat="1" applyFont="1" applyFill="1" applyAlignment="1" applyProtection="1">
      <protection locked="0"/>
    </xf>
    <xf numFmtId="43" fontId="42" fillId="0" borderId="0" xfId="0" applyNumberFormat="1" applyFont="1" applyAlignment="1"/>
    <xf numFmtId="39" fontId="42" fillId="0" borderId="0" xfId="0" quotePrefix="1" applyNumberFormat="1" applyFont="1" applyFill="1" applyAlignment="1">
      <alignment horizontal="right"/>
    </xf>
    <xf numFmtId="4" fontId="42" fillId="0" borderId="0" xfId="0" quotePrefix="1" applyNumberFormat="1" applyFont="1" applyFill="1" applyAlignment="1">
      <alignment horizontal="right"/>
    </xf>
    <xf numFmtId="44" fontId="42" fillId="0" borderId="0" xfId="1047" applyFont="1" applyFill="1" applyAlignment="1"/>
    <xf numFmtId="44" fontId="37" fillId="0" borderId="0" xfId="1767" applyNumberFormat="1" applyFont="1" applyFill="1" applyAlignment="1" applyProtection="1">
      <alignment horizontal="right"/>
      <protection locked="0"/>
    </xf>
    <xf numFmtId="0" fontId="44" fillId="0" borderId="0" xfId="2" applyNumberFormat="1" applyFont="1" applyAlignment="1">
      <alignment horizontal="left"/>
    </xf>
    <xf numFmtId="43" fontId="37" fillId="0" borderId="0" xfId="2" applyNumberFormat="1" applyFont="1" applyAlignment="1"/>
    <xf numFmtId="170" fontId="44" fillId="0" borderId="95" xfId="2" applyNumberFormat="1" applyFont="1" applyBorder="1" applyAlignment="1"/>
    <xf numFmtId="170" fontId="44" fillId="0" borderId="95" xfId="2" applyNumberFormat="1" applyFont="1" applyFill="1" applyBorder="1" applyAlignment="1"/>
    <xf numFmtId="170" fontId="44" fillId="0" borderId="70" xfId="2" applyNumberFormat="1" applyFont="1" applyBorder="1" applyAlignment="1"/>
    <xf numFmtId="170" fontId="44" fillId="0" borderId="70" xfId="2" applyNumberFormat="1" applyFont="1" applyFill="1" applyBorder="1" applyAlignment="1"/>
    <xf numFmtId="170" fontId="44" fillId="0" borderId="66" xfId="1046" applyNumberFormat="1" applyFont="1" applyFill="1" applyBorder="1"/>
    <xf numFmtId="174" fontId="44" fillId="0" borderId="0" xfId="2" applyNumberFormat="1" applyFont="1" applyAlignment="1">
      <alignment horizontal="center"/>
    </xf>
    <xf numFmtId="170" fontId="0" fillId="0" borderId="0" xfId="0" applyNumberFormat="1" applyFont="1" applyAlignment="1" applyProtection="1">
      <alignment horizontal="right"/>
      <protection locked="0"/>
    </xf>
    <xf numFmtId="170" fontId="44" fillId="0" borderId="70" xfId="1046" applyNumberFormat="1" applyFont="1" applyFill="1" applyBorder="1"/>
    <xf numFmtId="166" fontId="37" fillId="0" borderId="20" xfId="2" applyNumberFormat="1" applyFont="1" applyBorder="1" applyAlignment="1"/>
    <xf numFmtId="170" fontId="44" fillId="0" borderId="0" xfId="5517" applyNumberFormat="1" applyFont="1" applyFill="1" applyBorder="1"/>
    <xf numFmtId="170" fontId="44" fillId="0" borderId="66" xfId="5517" applyNumberFormat="1" applyFont="1" applyFill="1" applyBorder="1"/>
    <xf numFmtId="170" fontId="44" fillId="0" borderId="0" xfId="5517" applyNumberFormat="1" applyFont="1" applyFill="1"/>
    <xf numFmtId="170" fontId="44" fillId="0" borderId="0" xfId="5517" applyNumberFormat="1" applyFont="1" applyFill="1" applyAlignment="1">
      <alignment horizontal="right"/>
    </xf>
    <xf numFmtId="170" fontId="37" fillId="0" borderId="0" xfId="5517" quotePrefix="1" applyNumberFormat="1" applyFont="1" applyFill="1" applyAlignment="1">
      <alignment horizontal="right"/>
    </xf>
    <xf numFmtId="170" fontId="37" fillId="0" borderId="0" xfId="5517" applyNumberFormat="1" applyFont="1" applyFill="1" applyAlignment="1">
      <alignment horizontal="right"/>
    </xf>
    <xf numFmtId="170" fontId="44" fillId="0" borderId="0" xfId="5517" applyNumberFormat="1" applyFont="1" applyFill="1" applyBorder="1" applyAlignment="1">
      <alignment horizontal="right"/>
    </xf>
    <xf numFmtId="166" fontId="37" fillId="0" borderId="0" xfId="2" applyNumberFormat="1" applyFont="1" applyAlignment="1" applyProtection="1"/>
    <xf numFmtId="170" fontId="44" fillId="0" borderId="45" xfId="1046" applyNumberFormat="1" applyFont="1" applyFill="1" applyBorder="1"/>
    <xf numFmtId="170" fontId="44" fillId="0" borderId="0" xfId="1046" applyNumberFormat="1" applyFont="1" applyFill="1" applyBorder="1"/>
    <xf numFmtId="170" fontId="37" fillId="0" borderId="20" xfId="2" quotePrefix="1" applyNumberFormat="1" applyFont="1" applyFill="1" applyBorder="1" applyAlignment="1"/>
    <xf numFmtId="170" fontId="44" fillId="0" borderId="43" xfId="2" applyNumberFormat="1" applyFont="1" applyFill="1" applyBorder="1" applyAlignment="1"/>
    <xf numFmtId="170" fontId="62" fillId="0" borderId="0" xfId="2" applyNumberFormat="1" applyFont="1" applyAlignment="1">
      <alignment horizontal="right"/>
    </xf>
    <xf numFmtId="170" fontId="62" fillId="0" borderId="0" xfId="2" quotePrefix="1" applyNumberFormat="1" applyFont="1" applyAlignment="1">
      <alignment horizontal="right"/>
    </xf>
    <xf numFmtId="170" fontId="62" fillId="0" borderId="10" xfId="2" quotePrefix="1" applyNumberFormat="1" applyFont="1" applyBorder="1" applyAlignment="1">
      <alignment horizontal="right"/>
    </xf>
    <xf numFmtId="170" fontId="62" fillId="0" borderId="0" xfId="2" quotePrefix="1" applyNumberFormat="1" applyFont="1" applyFill="1" applyAlignment="1">
      <alignment horizontal="right"/>
    </xf>
    <xf numFmtId="170" fontId="62" fillId="0" borderId="10" xfId="2" quotePrefix="1" applyNumberFormat="1" applyFont="1" applyBorder="1" applyAlignment="1">
      <alignment horizontal="center"/>
    </xf>
    <xf numFmtId="170" fontId="62" fillId="0" borderId="10" xfId="2" quotePrefix="1" applyNumberFormat="1" applyFont="1" applyBorder="1" applyAlignment="1"/>
    <xf numFmtId="0" fontId="0" fillId="0" borderId="0" xfId="2" applyNumberFormat="1" applyFont="1" applyFill="1" applyAlignment="1"/>
    <xf numFmtId="174" fontId="166" fillId="0" borderId="0" xfId="2" applyNumberFormat="1" applyFont="1" applyFill="1" applyBorder="1" applyAlignment="1"/>
    <xf numFmtId="170" fontId="166" fillId="0" borderId="96" xfId="2" applyNumberFormat="1" applyFont="1" applyFill="1" applyBorder="1" applyAlignment="1"/>
    <xf numFmtId="170" fontId="166" fillId="0" borderId="0" xfId="2" applyNumberFormat="1" applyFont="1" applyFill="1" applyBorder="1"/>
    <xf numFmtId="170" fontId="167" fillId="0" borderId="15" xfId="2" applyNumberFormat="1" applyFont="1" applyFill="1" applyBorder="1"/>
    <xf numFmtId="174" fontId="44" fillId="0" borderId="81" xfId="2" applyNumberFormat="1" applyFont="1" applyFill="1" applyBorder="1" applyAlignment="1"/>
    <xf numFmtId="170" fontId="166" fillId="0" borderId="18" xfId="2" applyNumberFormat="1" applyFont="1" applyFill="1" applyBorder="1" applyAlignment="1"/>
    <xf numFmtId="174" fontId="166" fillId="0" borderId="18" xfId="2" applyNumberFormat="1" applyFont="1" applyFill="1" applyBorder="1" applyAlignment="1"/>
    <xf numFmtId="0" fontId="44" fillId="0" borderId="0" xfId="2" applyNumberFormat="1" applyFont="1" applyFill="1" applyBorder="1" applyAlignment="1" applyProtection="1"/>
    <xf numFmtId="170" fontId="44" fillId="0" borderId="0" xfId="6" applyNumberFormat="1" applyFont="1" applyFill="1" applyAlignment="1"/>
    <xf numFmtId="170" fontId="44" fillId="0" borderId="0" xfId="6" applyNumberFormat="1" applyFont="1" applyAlignment="1"/>
    <xf numFmtId="170" fontId="44" fillId="0" borderId="0" xfId="6" applyNumberFormat="1" applyFont="1" applyBorder="1" applyAlignment="1"/>
    <xf numFmtId="170" fontId="44" fillId="0" borderId="21" xfId="6" applyNumberFormat="1" applyFont="1" applyFill="1" applyBorder="1" applyAlignment="1"/>
    <xf numFmtId="170" fontId="44" fillId="0" borderId="13" xfId="6" applyNumberFormat="1" applyFont="1" applyFill="1" applyBorder="1" applyAlignment="1"/>
    <xf numFmtId="170" fontId="44" fillId="0" borderId="0" xfId="2" applyNumberFormat="1" applyFont="1"/>
    <xf numFmtId="170" fontId="44" fillId="0" borderId="66" xfId="6" applyNumberFormat="1" applyFont="1" applyFill="1" applyBorder="1" applyAlignment="1"/>
    <xf numFmtId="174" fontId="44" fillId="0" borderId="81" xfId="2" applyNumberFormat="1" applyFont="1" applyFill="1" applyBorder="1"/>
    <xf numFmtId="174" fontId="44" fillId="0" borderId="81" xfId="2" applyNumberFormat="1" applyFont="1" applyBorder="1"/>
    <xf numFmtId="0" fontId="37" fillId="0" borderId="0" xfId="5517" applyFont="1" applyFill="1" applyBorder="1"/>
    <xf numFmtId="0" fontId="0" fillId="0" borderId="28" xfId="2" applyFont="1" applyFill="1" applyBorder="1"/>
    <xf numFmtId="0" fontId="0" fillId="0" borderId="15" xfId="2" applyFont="1" applyFill="1" applyBorder="1"/>
    <xf numFmtId="167" fontId="44" fillId="0" borderId="0" xfId="2" applyNumberFormat="1" applyFont="1" applyFill="1" applyAlignment="1"/>
    <xf numFmtId="167" fontId="44" fillId="0" borderId="0" xfId="2" applyNumberFormat="1" applyFont="1" applyFill="1" applyBorder="1"/>
    <xf numFmtId="174" fontId="44" fillId="0" borderId="0" xfId="2" applyNumberFormat="1" applyFont="1" applyBorder="1" applyAlignment="1">
      <alignment horizontal="center"/>
    </xf>
    <xf numFmtId="174" fontId="44" fillId="0" borderId="0" xfId="2" quotePrefix="1" applyNumberFormat="1" applyFont="1" applyBorder="1" applyAlignment="1">
      <alignment horizontal="center"/>
    </xf>
    <xf numFmtId="164" fontId="44" fillId="0" borderId="0" xfId="2" applyNumberFormat="1" applyFont="1" applyFill="1" applyAlignment="1" applyProtection="1"/>
    <xf numFmtId="164" fontId="44" fillId="0" borderId="81" xfId="2" applyNumberFormat="1" applyFont="1" applyBorder="1" applyAlignment="1" applyProtection="1"/>
    <xf numFmtId="196" fontId="42" fillId="0" borderId="0" xfId="2" applyNumberFormat="1" applyFont="1" applyAlignment="1"/>
    <xf numFmtId="172" fontId="44" fillId="0" borderId="66" xfId="2" applyNumberFormat="1" applyFont="1" applyBorder="1" applyAlignment="1" applyProtection="1"/>
    <xf numFmtId="170" fontId="39" fillId="0" borderId="96" xfId="2" applyNumberFormat="1" applyFont="1" applyBorder="1" applyAlignment="1"/>
    <xf numFmtId="170" fontId="44" fillId="0" borderId="96" xfId="2" applyNumberFormat="1" applyFont="1" applyBorder="1" applyAlignment="1"/>
    <xf numFmtId="174" fontId="44" fillId="0" borderId="81" xfId="2" applyNumberFormat="1" applyFont="1" applyBorder="1" applyAlignment="1"/>
    <xf numFmtId="165" fontId="39" fillId="0" borderId="96" xfId="2" applyNumberFormat="1" applyFont="1" applyBorder="1" applyAlignment="1"/>
    <xf numFmtId="170" fontId="39" fillId="0" borderId="100" xfId="2" applyNumberFormat="1" applyFont="1" applyFill="1" applyBorder="1" applyAlignment="1"/>
    <xf numFmtId="170" fontId="44" fillId="0" borderId="100" xfId="2" applyNumberFormat="1" applyFont="1" applyFill="1" applyBorder="1" applyAlignment="1"/>
    <xf numFmtId="170" fontId="44" fillId="0" borderId="100" xfId="2" applyNumberFormat="1" applyFont="1" applyBorder="1" applyAlignment="1"/>
    <xf numFmtId="174" fontId="44" fillId="0" borderId="101" xfId="2" applyNumberFormat="1" applyFont="1" applyBorder="1" applyAlignment="1"/>
    <xf numFmtId="44" fontId="42" fillId="0" borderId="0" xfId="0" applyNumberFormat="1" applyFont="1" applyFill="1"/>
    <xf numFmtId="39" fontId="37" fillId="0" borderId="102" xfId="840" applyNumberFormat="1" applyFont="1" applyBorder="1" applyAlignment="1"/>
    <xf numFmtId="41" fontId="37" fillId="0" borderId="0" xfId="840" quotePrefix="1" applyNumberFormat="1" applyFont="1" applyAlignment="1">
      <alignment horizontal="center"/>
    </xf>
    <xf numFmtId="41" fontId="37" fillId="0" borderId="0" xfId="840" applyNumberFormat="1" applyFont="1" applyBorder="1" applyAlignment="1">
      <alignment horizontal="right"/>
    </xf>
    <xf numFmtId="41" fontId="44" fillId="0" borderId="95" xfId="840" applyNumberFormat="1" applyFont="1" applyBorder="1" applyAlignment="1"/>
    <xf numFmtId="41" fontId="37" fillId="0" borderId="0" xfId="840" quotePrefix="1" applyNumberFormat="1" applyFont="1" applyFill="1" applyAlignment="1"/>
    <xf numFmtId="41" fontId="66" fillId="0" borderId="0" xfId="840" applyNumberFormat="1" applyFont="1" applyAlignment="1"/>
    <xf numFmtId="41" fontId="44" fillId="0" borderId="95" xfId="840" quotePrefix="1" applyNumberFormat="1" applyFont="1" applyBorder="1" applyAlignment="1"/>
    <xf numFmtId="41" fontId="37" fillId="0" borderId="103" xfId="840" quotePrefix="1" applyNumberFormat="1" applyFont="1" applyBorder="1" applyAlignment="1">
      <alignment horizontal="center"/>
    </xf>
    <xf numFmtId="41" fontId="37" fillId="0" borderId="103" xfId="840" quotePrefix="1" applyNumberFormat="1" applyFont="1" applyBorder="1" applyAlignment="1">
      <alignment horizontal="right"/>
    </xf>
    <xf numFmtId="170" fontId="37" fillId="0" borderId="102" xfId="2" applyNumberFormat="1" applyFont="1" applyBorder="1" applyAlignment="1"/>
    <xf numFmtId="170" fontId="44" fillId="0" borderId="104" xfId="2" applyNumberFormat="1" applyFont="1" applyBorder="1" applyAlignment="1"/>
    <xf numFmtId="170" fontId="44" fillId="0" borderId="102" xfId="2" applyNumberFormat="1" applyFont="1" applyBorder="1" applyAlignment="1"/>
    <xf numFmtId="170" fontId="44" fillId="0" borderId="102" xfId="2" applyNumberFormat="1" applyFont="1" applyFill="1" applyBorder="1" applyAlignment="1"/>
    <xf numFmtId="170" fontId="37" fillId="0" borderId="102" xfId="2" applyNumberFormat="1" applyFont="1" applyFill="1" applyBorder="1" applyAlignment="1"/>
    <xf numFmtId="172" fontId="39" fillId="0" borderId="0" xfId="1940" applyNumberFormat="1" applyFont="1" applyBorder="1" applyAlignment="1" applyProtection="1"/>
    <xf numFmtId="170" fontId="44" fillId="0" borderId="0" xfId="2" quotePrefix="1" applyNumberFormat="1" applyFont="1" applyAlignment="1">
      <alignment horizontal="right"/>
    </xf>
    <xf numFmtId="186" fontId="44" fillId="0" borderId="50" xfId="1767" quotePrefix="1" applyNumberFormat="1" applyFont="1" applyBorder="1" applyAlignment="1" applyProtection="1">
      <alignment horizontal="center"/>
      <protection locked="0"/>
    </xf>
    <xf numFmtId="174" fontId="39" fillId="0" borderId="0" xfId="2" applyNumberFormat="1" applyFont="1" applyFill="1" applyAlignment="1"/>
    <xf numFmtId="194" fontId="44" fillId="0" borderId="0" xfId="2" quotePrefix="1" applyNumberFormat="1" applyFont="1" applyAlignment="1">
      <alignment horizontal="center"/>
    </xf>
    <xf numFmtId="198" fontId="37" fillId="0" borderId="0" xfId="739" applyNumberFormat="1" applyFont="1" applyBorder="1" applyAlignment="1" applyProtection="1">
      <protection locked="0"/>
    </xf>
    <xf numFmtId="198" fontId="37" fillId="0" borderId="0" xfId="739" applyNumberFormat="1" applyFont="1" applyAlignment="1"/>
    <xf numFmtId="198" fontId="96" fillId="0" borderId="0" xfId="739" applyNumberFormat="1" applyFont="1" applyBorder="1" applyAlignment="1"/>
    <xf numFmtId="198" fontId="96" fillId="0" borderId="0" xfId="739" applyNumberFormat="1" applyFont="1" applyAlignment="1"/>
    <xf numFmtId="198" fontId="95" fillId="0" borderId="0" xfId="739" applyNumberFormat="1" applyFont="1" applyAlignment="1"/>
    <xf numFmtId="42" fontId="97" fillId="0" borderId="81" xfId="739" applyNumberFormat="1" applyFont="1" applyBorder="1" applyAlignment="1"/>
    <xf numFmtId="39" fontId="37" fillId="0" borderId="102" xfId="1776" applyNumberFormat="1" applyFont="1" applyFill="1" applyBorder="1" applyAlignment="1"/>
    <xf numFmtId="43" fontId="44" fillId="0" borderId="98" xfId="1776" applyNumberFormat="1" applyFont="1" applyFill="1" applyBorder="1" applyAlignment="1"/>
    <xf numFmtId="43" fontId="37" fillId="0" borderId="102" xfId="1776" applyNumberFormat="1" applyFont="1" applyFill="1" applyBorder="1" applyAlignment="1"/>
    <xf numFmtId="43" fontId="44" fillId="0" borderId="102" xfId="1776" applyNumberFormat="1" applyFont="1" applyFill="1" applyBorder="1" applyAlignment="1"/>
    <xf numFmtId="43" fontId="44" fillId="0" borderId="95" xfId="1776" applyNumberFormat="1" applyFont="1" applyFill="1" applyBorder="1" applyAlignment="1"/>
    <xf numFmtId="44" fontId="44" fillId="0" borderId="81" xfId="1776" applyNumberFormat="1" applyFont="1" applyFill="1" applyBorder="1" applyAlignment="1">
      <alignment horizontal="right"/>
    </xf>
    <xf numFmtId="39" fontId="37" fillId="0" borderId="102" xfId="1776" applyNumberFormat="1" applyFont="1" applyBorder="1" applyAlignment="1"/>
    <xf numFmtId="43" fontId="44" fillId="0" borderId="95" xfId="1776" applyNumberFormat="1" applyFont="1" applyBorder="1" applyAlignment="1"/>
    <xf numFmtId="43" fontId="37" fillId="0" borderId="102" xfId="1776" applyNumberFormat="1" applyFont="1" applyBorder="1" applyAlignment="1"/>
    <xf numFmtId="0" fontId="44" fillId="0" borderId="102" xfId="17" applyNumberFormat="1" applyFont="1" applyBorder="1" applyAlignment="1"/>
    <xf numFmtId="174" fontId="44" fillId="0" borderId="87" xfId="17" applyNumberFormat="1" applyFont="1" applyBorder="1" applyAlignment="1"/>
    <xf numFmtId="181" fontId="42" fillId="0" borderId="0" xfId="1776" applyNumberFormat="1" applyFont="1" applyAlignment="1"/>
    <xf numFmtId="165" fontId="37" fillId="0" borderId="0" xfId="1776" applyNumberFormat="1" applyFont="1" applyAlignment="1" applyProtection="1">
      <protection locked="0"/>
    </xf>
    <xf numFmtId="181" fontId="67" fillId="0" borderId="0" xfId="1776" applyNumberFormat="1" applyFont="1" applyAlignment="1"/>
    <xf numFmtId="181" fontId="62" fillId="0" borderId="0" xfId="1776" applyNumberFormat="1" applyFont="1" applyAlignment="1"/>
    <xf numFmtId="181" fontId="67" fillId="0" borderId="0" xfId="1776" quotePrefix="1" applyNumberFormat="1" applyFont="1" applyAlignment="1">
      <alignment horizontal="left"/>
    </xf>
    <xf numFmtId="181" fontId="67" fillId="0" borderId="0" xfId="1776" applyNumberFormat="1" applyFont="1" applyAlignment="1">
      <alignment horizontal="center"/>
    </xf>
    <xf numFmtId="181" fontId="103" fillId="0" borderId="0" xfId="1776" applyNumberFormat="1" applyFont="1" applyAlignment="1">
      <alignment horizontal="center"/>
    </xf>
    <xf numFmtId="181" fontId="67" fillId="0" borderId="0" xfId="1776" quotePrefix="1" applyNumberFormat="1" applyFont="1" applyAlignment="1">
      <alignment horizontal="center"/>
    </xf>
    <xf numFmtId="181" fontId="67" fillId="0" borderId="102" xfId="1776" applyNumberFormat="1" applyFont="1" applyBorder="1" applyAlignment="1">
      <alignment horizontal="center"/>
    </xf>
    <xf numFmtId="181" fontId="67" fillId="0" borderId="102" xfId="1776" quotePrefix="1" applyNumberFormat="1" applyFont="1" applyBorder="1" applyAlignment="1">
      <alignment horizontal="fill"/>
    </xf>
    <xf numFmtId="181" fontId="103" fillId="0" borderId="0" xfId="1776" applyNumberFormat="1" applyFont="1" applyAlignment="1"/>
    <xf numFmtId="181" fontId="62" fillId="0" borderId="0" xfId="1776" applyNumberFormat="1" applyFont="1" applyAlignment="1">
      <alignment horizontal="left"/>
    </xf>
    <xf numFmtId="180" fontId="62" fillId="0" borderId="0" xfId="1776" applyNumberFormat="1" applyFont="1" applyAlignment="1">
      <alignment horizontal="right"/>
    </xf>
    <xf numFmtId="180" fontId="62" fillId="0" borderId="0" xfId="1776" applyNumberFormat="1" applyFont="1" applyFill="1" applyAlignment="1">
      <alignment horizontal="right"/>
    </xf>
    <xf numFmtId="181" fontId="62" fillId="0" borderId="0" xfId="1776" quotePrefix="1" applyNumberFormat="1" applyFont="1" applyAlignment="1">
      <alignment horizontal="left"/>
    </xf>
    <xf numFmtId="177" fontId="62" fillId="0" borderId="0" xfId="1776" applyNumberFormat="1" applyFont="1" applyAlignment="1">
      <alignment horizontal="right"/>
    </xf>
    <xf numFmtId="177" fontId="62" fillId="0" borderId="0" xfId="1776" applyNumberFormat="1" applyFont="1" applyAlignment="1"/>
    <xf numFmtId="177" fontId="62" fillId="0" borderId="0" xfId="1776" applyNumberFormat="1" applyFont="1" applyFill="1" applyBorder="1" applyAlignment="1">
      <alignment horizontal="right"/>
    </xf>
    <xf numFmtId="177" fontId="62" fillId="0" borderId="0" xfId="1776" applyNumberFormat="1" applyFont="1" applyFill="1" applyAlignment="1"/>
    <xf numFmtId="177" fontId="62" fillId="0" borderId="0" xfId="1776" applyNumberFormat="1" applyFont="1" applyFill="1" applyAlignment="1">
      <alignment horizontal="right"/>
    </xf>
    <xf numFmtId="177" fontId="62" fillId="0" borderId="0" xfId="1776" quotePrefix="1" applyNumberFormat="1" applyFont="1" applyAlignment="1">
      <alignment horizontal="right"/>
    </xf>
    <xf numFmtId="177" fontId="62" fillId="0" borderId="0" xfId="1776" quotePrefix="1" applyNumberFormat="1" applyFont="1" applyFill="1" applyAlignment="1">
      <alignment horizontal="right"/>
    </xf>
    <xf numFmtId="181" fontId="67" fillId="0" borderId="0" xfId="1776" applyNumberFormat="1" applyFont="1" applyAlignment="1">
      <alignment horizontal="left"/>
    </xf>
    <xf numFmtId="180" fontId="67" fillId="0" borderId="105" xfId="1776" applyNumberFormat="1" applyFont="1" applyBorder="1" applyAlignment="1">
      <alignment horizontal="right"/>
    </xf>
    <xf numFmtId="180" fontId="67" fillId="0" borderId="0" xfId="1776" applyNumberFormat="1" applyFont="1" applyAlignment="1">
      <alignment horizontal="right"/>
    </xf>
    <xf numFmtId="180" fontId="67" fillId="0" borderId="105" xfId="1776" applyNumberFormat="1" applyFont="1" applyFill="1" applyBorder="1" applyAlignment="1">
      <alignment horizontal="right"/>
    </xf>
    <xf numFmtId="181" fontId="43" fillId="0" borderId="0" xfId="1776" applyNumberFormat="1" applyFont="1" applyAlignment="1"/>
    <xf numFmtId="181" fontId="62" fillId="0" borderId="0" xfId="1776" applyNumberFormat="1" applyFont="1" applyBorder="1" applyAlignment="1"/>
    <xf numFmtId="181" fontId="42" fillId="0" borderId="0" xfId="1776" applyNumberFormat="1" applyFont="1" applyAlignment="1">
      <alignment horizontal="left" vertical="top" wrapText="1"/>
    </xf>
    <xf numFmtId="181" fontId="42" fillId="0" borderId="0" xfId="1776" quotePrefix="1" applyNumberFormat="1" applyFont="1" applyBorder="1" applyAlignment="1">
      <alignment horizontal="left" wrapText="1"/>
    </xf>
    <xf numFmtId="181" fontId="42" fillId="0" borderId="0" xfId="1776" applyNumberFormat="1" applyFont="1" applyBorder="1" applyAlignment="1"/>
    <xf numFmtId="181" fontId="42" fillId="0" borderId="0" xfId="1776" applyNumberFormat="1" applyFont="1" applyBorder="1" applyAlignment="1">
      <alignment horizontal="right"/>
    </xf>
    <xf numFmtId="39" fontId="42" fillId="0" borderId="0" xfId="1776" applyNumberFormat="1" applyFont="1" applyBorder="1" applyAlignment="1"/>
    <xf numFmtId="39" fontId="42" fillId="0" borderId="0" xfId="1776" applyNumberFormat="1" applyFont="1" applyAlignment="1"/>
    <xf numFmtId="181" fontId="42" fillId="0" borderId="0" xfId="1776" quotePrefix="1" applyNumberFormat="1" applyFont="1" applyBorder="1" applyAlignment="1">
      <alignment horizontal="left"/>
    </xf>
    <xf numFmtId="39" fontId="42" fillId="0" borderId="0" xfId="1776" quotePrefix="1" applyNumberFormat="1" applyFont="1" applyBorder="1" applyAlignment="1">
      <alignment horizontal="center"/>
    </xf>
    <xf numFmtId="39" fontId="42" fillId="0" borderId="0" xfId="1776" quotePrefix="1" applyNumberFormat="1" applyFont="1" applyBorder="1" applyAlignment="1">
      <alignment horizontal="right"/>
    </xf>
    <xf numFmtId="181" fontId="43" fillId="0" borderId="0" xfId="1776" quotePrefix="1" applyNumberFormat="1" applyFont="1" applyBorder="1" applyAlignment="1">
      <alignment horizontal="left"/>
    </xf>
    <xf numFmtId="181" fontId="42" fillId="0" borderId="0" xfId="1776" applyNumberFormat="1" applyFont="1" applyBorder="1" applyAlignment="1">
      <alignment horizontal="left"/>
    </xf>
    <xf numFmtId="39" fontId="43" fillId="0" borderId="0" xfId="1776" quotePrefix="1" applyNumberFormat="1" applyFont="1" applyBorder="1" applyAlignment="1">
      <alignment horizontal="center"/>
    </xf>
    <xf numFmtId="39" fontId="43" fillId="0" borderId="0" xfId="1776" applyNumberFormat="1" applyFont="1" applyBorder="1" applyAlignment="1"/>
    <xf numFmtId="0" fontId="114" fillId="0" borderId="0" xfId="8" applyFont="1" applyFill="1" applyAlignment="1">
      <alignment horizontal="center" vertical="top"/>
    </xf>
    <xf numFmtId="0" fontId="114" fillId="0" borderId="0" xfId="8" quotePrefix="1" applyNumberFormat="1" applyFont="1" applyFill="1" applyAlignment="1">
      <alignment horizontal="center"/>
    </xf>
    <xf numFmtId="0" fontId="98" fillId="0" borderId="0" xfId="8" applyFont="1" applyFill="1" applyAlignment="1"/>
    <xf numFmtId="42" fontId="49" fillId="0" borderId="0" xfId="8" applyNumberFormat="1" applyFont="1" applyFill="1" applyAlignment="1">
      <alignment horizontal="right"/>
    </xf>
    <xf numFmtId="42" fontId="49" fillId="0" borderId="0" xfId="8" quotePrefix="1" applyNumberFormat="1" applyFont="1" applyFill="1" applyAlignment="1">
      <alignment horizontal="right"/>
    </xf>
    <xf numFmtId="41" fontId="49" fillId="0" borderId="0" xfId="8" applyNumberFormat="1" applyFont="1" applyFill="1" applyAlignment="1">
      <alignment horizontal="right"/>
    </xf>
    <xf numFmtId="41" fontId="49" fillId="0" borderId="0" xfId="8" quotePrefix="1" applyNumberFormat="1" applyFont="1" applyFill="1" applyAlignment="1">
      <alignment horizontal="right"/>
    </xf>
    <xf numFmtId="41" fontId="49" fillId="0" borderId="0" xfId="8" quotePrefix="1" applyNumberFormat="1" applyFont="1" applyFill="1" applyAlignment="1">
      <alignment horizontal="center"/>
    </xf>
    <xf numFmtId="42" fontId="114" fillId="0" borderId="87" xfId="8" applyNumberFormat="1" applyFont="1" applyFill="1" applyBorder="1"/>
    <xf numFmtId="0" fontId="44" fillId="0" borderId="0" xfId="8" applyFont="1" applyFill="1"/>
    <xf numFmtId="42" fontId="114" fillId="0" borderId="87" xfId="8" applyNumberFormat="1" applyFont="1" applyFill="1" applyBorder="1" applyAlignment="1"/>
    <xf numFmtId="170" fontId="49" fillId="0" borderId="0" xfId="8" quotePrefix="1" applyNumberFormat="1" applyFont="1" applyFill="1" applyAlignment="1">
      <alignment horizontal="right"/>
    </xf>
    <xf numFmtId="42" fontId="157" fillId="0" borderId="0" xfId="5488" applyNumberFormat="1" applyFont="1" applyFill="1" applyAlignment="1">
      <alignment horizontal="right"/>
    </xf>
    <xf numFmtId="41" fontId="157" fillId="0" borderId="0" xfId="5488" applyNumberFormat="1" applyFont="1" applyFill="1" applyAlignment="1">
      <alignment horizontal="right"/>
    </xf>
    <xf numFmtId="0" fontId="42" fillId="0" borderId="0" xfId="1045" applyFont="1" applyFill="1" applyBorder="1"/>
    <xf numFmtId="166" fontId="44" fillId="0" borderId="0" xfId="0" applyNumberFormat="1" applyFont="1" applyFill="1" applyBorder="1" applyAlignment="1">
      <alignment horizontal="center"/>
    </xf>
    <xf numFmtId="164" fontId="41" fillId="0" borderId="0" xfId="0" applyFont="1" applyFill="1" applyBorder="1" applyAlignment="1">
      <alignment horizontal="left"/>
    </xf>
    <xf numFmtId="172" fontId="171" fillId="0" borderId="0" xfId="1940" applyNumberFormat="1" applyFont="1" applyFill="1" applyAlignment="1"/>
    <xf numFmtId="172" fontId="170" fillId="0" borderId="70" xfId="1940" applyNumberFormat="1" applyFont="1" applyBorder="1" applyAlignment="1"/>
    <xf numFmtId="166" fontId="44" fillId="0" borderId="0" xfId="2" applyNumberFormat="1" applyFont="1" applyFill="1" applyAlignment="1">
      <alignment horizontal="right"/>
    </xf>
    <xf numFmtId="170" fontId="37" fillId="0" borderId="15" xfId="2" applyNumberFormat="1" applyFont="1" applyFill="1" applyBorder="1" applyAlignment="1">
      <alignment horizontal="right"/>
    </xf>
    <xf numFmtId="170" fontId="39" fillId="0" borderId="0" xfId="1" applyNumberFormat="1" applyFont="1" applyFill="1" applyBorder="1" applyAlignment="1">
      <alignment horizontal="center"/>
    </xf>
    <xf numFmtId="165" fontId="144" fillId="0" borderId="0" xfId="0" applyNumberFormat="1" applyFont="1" applyFill="1" applyAlignment="1" applyProtection="1">
      <protection locked="0"/>
    </xf>
    <xf numFmtId="164" fontId="39" fillId="0" borderId="0" xfId="0" applyFont="1" applyFill="1" applyBorder="1" applyAlignment="1" applyProtection="1">
      <alignment horizontal="left"/>
      <protection locked="0"/>
    </xf>
    <xf numFmtId="166" fontId="134" fillId="0" borderId="0" xfId="0" applyNumberFormat="1" applyFont="1" applyFill="1" applyAlignment="1" applyProtection="1">
      <protection locked="0"/>
    </xf>
    <xf numFmtId="166" fontId="42" fillId="0" borderId="0" xfId="0" applyNumberFormat="1" applyFont="1" applyFill="1" applyAlignment="1" applyProtection="1">
      <protection locked="0"/>
    </xf>
    <xf numFmtId="166" fontId="44" fillId="0" borderId="10" xfId="0" quotePrefix="1" applyNumberFormat="1" applyFont="1" applyFill="1" applyBorder="1" applyAlignment="1" applyProtection="1">
      <alignment horizontal="center"/>
      <protection locked="0"/>
    </xf>
    <xf numFmtId="166" fontId="131" fillId="0" borderId="0" xfId="0" applyNumberFormat="1" applyFont="1" applyFill="1" applyBorder="1" applyAlignment="1" applyProtection="1">
      <protection locked="0"/>
    </xf>
    <xf numFmtId="170" fontId="44" fillId="0" borderId="16" xfId="0" quotePrefix="1" applyNumberFormat="1" applyFont="1" applyFill="1" applyBorder="1" applyAlignment="1" applyProtection="1">
      <alignment horizontal="right"/>
      <protection locked="0"/>
    </xf>
    <xf numFmtId="166" fontId="144" fillId="0" borderId="0" xfId="0" applyNumberFormat="1" applyFont="1" applyFill="1" applyBorder="1" applyAlignment="1" applyProtection="1">
      <protection locked="0"/>
    </xf>
    <xf numFmtId="165" fontId="144" fillId="0" borderId="0" xfId="0" applyNumberFormat="1" applyFont="1" applyFill="1" applyBorder="1" applyAlignment="1" applyProtection="1">
      <protection locked="0"/>
    </xf>
    <xf numFmtId="0" fontId="44" fillId="0" borderId="66" xfId="2" applyNumberFormat="1" applyFont="1" applyBorder="1" applyAlignment="1">
      <alignment horizontal="center"/>
    </xf>
    <xf numFmtId="40" fontId="44" fillId="0" borderId="0" xfId="840" quotePrefix="1" applyNumberFormat="1" applyFont="1" applyFill="1" applyAlignment="1">
      <alignment horizontal="center"/>
    </xf>
    <xf numFmtId="170" fontId="37" fillId="0" borderId="10" xfId="0" quotePrefix="1" applyNumberFormat="1" applyFont="1" applyFill="1" applyBorder="1" applyAlignment="1" applyProtection="1">
      <alignment horizontal="right"/>
      <protection locked="0"/>
    </xf>
    <xf numFmtId="37" fontId="37" fillId="0" borderId="0" xfId="2" applyNumberFormat="1" applyFont="1" applyFill="1" applyAlignment="1">
      <alignment horizontal="right"/>
    </xf>
    <xf numFmtId="37" fontId="37" fillId="0" borderId="0" xfId="2" applyNumberFormat="1" applyFont="1" applyFill="1" applyBorder="1" applyAlignment="1"/>
    <xf numFmtId="37" fontId="37" fillId="0" borderId="0" xfId="2" quotePrefix="1" applyNumberFormat="1" applyFont="1" applyFill="1" applyBorder="1" applyAlignment="1">
      <alignment horizontal="center"/>
    </xf>
    <xf numFmtId="37" fontId="37" fillId="0" borderId="0" xfId="2" applyNumberFormat="1" applyFont="1" applyFill="1" applyBorder="1" applyAlignment="1">
      <alignment horizontal="right"/>
    </xf>
    <xf numFmtId="170" fontId="44" fillId="0" borderId="0" xfId="2" quotePrefix="1" applyNumberFormat="1" applyFont="1" applyFill="1" applyAlignment="1">
      <alignment horizontal="right"/>
    </xf>
    <xf numFmtId="37" fontId="37" fillId="0" borderId="0" xfId="2" applyNumberFormat="1" applyFont="1" applyFill="1" applyBorder="1"/>
    <xf numFmtId="0" fontId="37" fillId="0" borderId="0" xfId="1776" applyBorder="1" applyAlignment="1"/>
    <xf numFmtId="181" fontId="42" fillId="0" borderId="0" xfId="177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190" fontId="168" fillId="0" borderId="0" xfId="1773" applyNumberFormat="1" applyFont="1" applyFill="1"/>
    <xf numFmtId="190" fontId="42" fillId="0" borderId="0" xfId="1773" applyNumberFormat="1" applyFont="1" applyFill="1"/>
    <xf numFmtId="0" fontId="43" fillId="0" borderId="66" xfId="0" applyNumberFormat="1" applyFont="1" applyBorder="1" applyAlignment="1">
      <alignment horizontal="center" wrapText="1"/>
    </xf>
    <xf numFmtId="49" fontId="43" fillId="0" borderId="66" xfId="0" applyNumberFormat="1" applyFont="1" applyFill="1" applyBorder="1" applyAlignment="1">
      <alignment horizontal="center" wrapText="1"/>
    </xf>
    <xf numFmtId="41" fontId="43" fillId="0" borderId="66" xfId="1773" applyNumberFormat="1" applyFont="1" applyFill="1" applyBorder="1" applyAlignment="1">
      <alignment horizontal="center" wrapText="1"/>
    </xf>
    <xf numFmtId="0" fontId="0" fillId="0" borderId="0" xfId="0" applyNumberFormat="1" applyFill="1" applyAlignment="1">
      <alignment horizontal="left" wrapText="1" readingOrder="1"/>
    </xf>
    <xf numFmtId="43" fontId="168" fillId="0" borderId="0" xfId="0" applyNumberFormat="1" applyFont="1" applyFill="1"/>
    <xf numFmtId="4" fontId="191" fillId="0" borderId="0" xfId="0" applyNumberFormat="1" applyFont="1" applyFill="1" applyAlignment="1">
      <alignment horizontal="right" wrapText="1" readingOrder="1"/>
    </xf>
    <xf numFmtId="0" fontId="191" fillId="0" borderId="0" xfId="0" applyNumberFormat="1" applyFont="1" applyFill="1" applyAlignment="1">
      <alignment horizontal="right" wrapText="1" readingOrder="1"/>
    </xf>
    <xf numFmtId="0" fontId="0" fillId="0" borderId="0" xfId="0" applyNumberFormat="1" applyFont="1" applyAlignment="1">
      <alignment horizontal="left" vertical="top" wrapText="1" readingOrder="1"/>
    </xf>
    <xf numFmtId="0" fontId="0" fillId="0" borderId="0" xfId="0" applyNumberFormat="1" applyFont="1" applyFill="1" applyAlignment="1">
      <alignment horizontal="left" vertical="top" wrapText="1" readingOrder="1"/>
    </xf>
    <xf numFmtId="0" fontId="0" fillId="0" borderId="0" xfId="0" applyNumberFormat="1" applyFont="1" applyFill="1" applyAlignment="1">
      <alignment horizontal="left" wrapText="1" readingOrder="1"/>
    </xf>
    <xf numFmtId="0" fontId="168" fillId="0" borderId="0" xfId="0" applyNumberFormat="1" applyFont="1" applyFill="1" applyAlignment="1">
      <alignment horizontal="left" wrapText="1" readingOrder="1"/>
    </xf>
    <xf numFmtId="4" fontId="192" fillId="0" borderId="0" xfId="0" applyNumberFormat="1" applyFont="1" applyFill="1" applyAlignment="1">
      <alignment horizontal="right" wrapText="1" readingOrder="1"/>
    </xf>
    <xf numFmtId="41" fontId="111" fillId="0" borderId="103" xfId="0" applyNumberFormat="1" applyFont="1" applyBorder="1"/>
    <xf numFmtId="4" fontId="168" fillId="0" borderId="0" xfId="0" applyNumberFormat="1" applyFont="1" applyFill="1" applyAlignment="1"/>
    <xf numFmtId="49" fontId="42" fillId="0" borderId="0" xfId="0" applyNumberFormat="1" applyFont="1" applyBorder="1" applyAlignment="1">
      <alignment wrapText="1"/>
    </xf>
    <xf numFmtId="41" fontId="42" fillId="0" borderId="0" xfId="0" applyNumberFormat="1" applyFont="1"/>
    <xf numFmtId="190" fontId="42" fillId="0" borderId="0" xfId="0" applyNumberFormat="1" applyFont="1" applyAlignment="1">
      <alignment vertical="center"/>
    </xf>
    <xf numFmtId="41" fontId="42" fillId="0" borderId="0" xfId="0" applyNumberFormat="1" applyFont="1" applyAlignment="1">
      <alignment horizontal="right" vertical="center"/>
    </xf>
    <xf numFmtId="49" fontId="42" fillId="0" borderId="0" xfId="0" applyNumberFormat="1" applyFont="1" applyFill="1" applyAlignment="1">
      <alignment wrapText="1"/>
    </xf>
    <xf numFmtId="190" fontId="42" fillId="0" borderId="0" xfId="0" applyNumberFormat="1" applyFont="1" applyFill="1" applyAlignment="1">
      <alignment vertical="center"/>
    </xf>
    <xf numFmtId="0" fontId="193" fillId="0" borderId="0" xfId="0" applyNumberFormat="1" applyFont="1" applyFill="1" applyAlignment="1"/>
    <xf numFmtId="42" fontId="43" fillId="0" borderId="0" xfId="0" applyNumberFormat="1" applyFont="1" applyFill="1" applyAlignment="1">
      <alignment horizontal="center"/>
    </xf>
    <xf numFmtId="42" fontId="43" fillId="0" borderId="87" xfId="0" quotePrefix="1" applyNumberFormat="1" applyFont="1" applyFill="1" applyBorder="1" applyAlignment="1">
      <alignment horizontal="right"/>
    </xf>
    <xf numFmtId="41" fontId="168" fillId="0" borderId="0" xfId="0" applyNumberFormat="1" applyFont="1" applyFill="1" applyBorder="1" applyAlignment="1">
      <alignment horizontal="right" vertical="center"/>
    </xf>
    <xf numFmtId="41" fontId="168" fillId="0" borderId="0" xfId="0" applyNumberFormat="1" applyFont="1" applyBorder="1"/>
    <xf numFmtId="42" fontId="111" fillId="0" borderId="0" xfId="0" applyNumberFormat="1" applyFont="1" applyFill="1" applyBorder="1" applyAlignment="1">
      <alignment horizontal="right"/>
    </xf>
    <xf numFmtId="42" fontId="111" fillId="0" borderId="0" xfId="0" applyNumberFormat="1" applyFont="1" applyFill="1" applyBorder="1" applyAlignment="1">
      <alignment horizontal="center"/>
    </xf>
    <xf numFmtId="4" fontId="168" fillId="0" borderId="0" xfId="0" applyNumberFormat="1" applyFont="1"/>
    <xf numFmtId="0" fontId="37" fillId="0" borderId="66" xfId="17" applyNumberFormat="1" applyFont="1" applyBorder="1" applyAlignment="1">
      <alignment horizontal="center"/>
    </xf>
    <xf numFmtId="0" fontId="44" fillId="0" borderId="66" xfId="2" applyNumberFormat="1" applyFont="1" applyBorder="1" applyAlignment="1">
      <alignment horizontal="center"/>
    </xf>
    <xf numFmtId="170" fontId="44" fillId="0" borderId="0" xfId="1" applyNumberFormat="1" applyFont="1" applyBorder="1" applyAlignment="1"/>
    <xf numFmtId="0" fontId="67" fillId="0" borderId="0" xfId="1776" applyNumberFormat="1" applyFont="1" applyAlignment="1">
      <alignment horizontal="left"/>
    </xf>
    <xf numFmtId="0" fontId="67" fillId="0" borderId="0" xfId="1776" quotePrefix="1" applyNumberFormat="1" applyFont="1" applyAlignment="1">
      <alignment horizontal="left"/>
    </xf>
    <xf numFmtId="0" fontId="67" fillId="0" borderId="0" xfId="1776" quotePrefix="1" applyNumberFormat="1" applyFont="1" applyAlignment="1">
      <alignment horizontal="center"/>
    </xf>
    <xf numFmtId="0" fontId="67" fillId="0" borderId="0" xfId="1776" applyNumberFormat="1" applyFont="1" applyFill="1" applyAlignment="1">
      <alignment horizontal="left"/>
    </xf>
    <xf numFmtId="0" fontId="62"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43" fontId="37" fillId="0" borderId="66" xfId="1776" applyNumberFormat="1" applyFont="1" applyFill="1" applyBorder="1" applyAlignment="1" applyProtection="1">
      <alignment horizontal="right"/>
    </xf>
    <xf numFmtId="43" fontId="44" fillId="0" borderId="66" xfId="1776" applyNumberFormat="1" applyFont="1" applyBorder="1" applyAlignment="1"/>
    <xf numFmtId="43" fontId="37" fillId="0" borderId="66" xfId="1776" applyNumberFormat="1" applyFont="1" applyBorder="1" applyAlignment="1"/>
    <xf numFmtId="39" fontId="44" fillId="0" borderId="66" xfId="1776" applyNumberFormat="1" applyFont="1" applyFill="1" applyBorder="1" applyAlignment="1">
      <alignment horizontal="center"/>
    </xf>
    <xf numFmtId="44" fontId="44" fillId="0" borderId="106" xfId="1776" applyNumberFormat="1" applyFont="1" applyFill="1" applyBorder="1" applyAlignment="1"/>
    <xf numFmtId="39" fontId="37" fillId="0" borderId="106" xfId="1776" applyNumberFormat="1" applyFont="1" applyFill="1" applyBorder="1" applyAlignment="1"/>
    <xf numFmtId="43" fontId="37" fillId="0" borderId="106" xfId="1776" applyNumberFormat="1" applyFont="1" applyFill="1" applyBorder="1" applyAlignment="1"/>
    <xf numFmtId="43" fontId="44" fillId="0" borderId="106" xfId="1776" applyNumberFormat="1" applyFont="1" applyFill="1" applyBorder="1" applyAlignment="1"/>
    <xf numFmtId="43" fontId="44" fillId="0" borderId="66" xfId="1776" applyNumberFormat="1" applyFont="1" applyFill="1" applyBorder="1" applyAlignment="1">
      <alignment horizontal="right"/>
    </xf>
    <xf numFmtId="43" fontId="44" fillId="0" borderId="106" xfId="1776" applyNumberFormat="1" applyFont="1" applyFill="1" applyBorder="1" applyAlignment="1">
      <alignment horizontal="right"/>
    </xf>
    <xf numFmtId="43" fontId="37" fillId="0" borderId="106" xfId="1776" applyNumberFormat="1" applyFont="1" applyFill="1" applyBorder="1" applyAlignment="1" applyProtection="1"/>
    <xf numFmtId="43" fontId="37" fillId="0" borderId="66" xfId="1776" applyNumberFormat="1" applyFont="1" applyFill="1" applyBorder="1" applyAlignment="1" applyProtection="1"/>
    <xf numFmtId="43" fontId="37" fillId="0" borderId="106" xfId="1776" applyNumberFormat="1" applyFont="1" applyFill="1" applyBorder="1" applyAlignment="1" applyProtection="1">
      <alignment horizontal="right"/>
    </xf>
    <xf numFmtId="43" fontId="37" fillId="0" borderId="66" xfId="1776" applyNumberFormat="1" applyFont="1" applyFill="1" applyBorder="1" applyAlignment="1"/>
    <xf numFmtId="44" fontId="44" fillId="0" borderId="106" xfId="1776" applyNumberFormat="1" applyFont="1" applyFill="1" applyBorder="1" applyAlignment="1">
      <alignment horizontal="right"/>
    </xf>
    <xf numFmtId="170" fontId="37" fillId="0" borderId="0" xfId="1773" applyNumberFormat="1" applyFont="1" applyFill="1" applyAlignment="1"/>
    <xf numFmtId="170" fontId="67" fillId="0" borderId="98" xfId="2" quotePrefix="1" applyNumberFormat="1" applyFont="1" applyBorder="1" applyAlignment="1">
      <alignment horizontal="center"/>
    </xf>
    <xf numFmtId="166" fontId="39" fillId="0" borderId="28" xfId="2" applyNumberFormat="1" applyFont="1" applyBorder="1" applyAlignment="1"/>
    <xf numFmtId="170" fontId="37" fillId="0" borderId="66" xfId="0" quotePrefix="1" applyNumberFormat="1" applyFont="1" applyFill="1" applyBorder="1" applyAlignment="1" applyProtection="1">
      <alignment horizontal="right"/>
    </xf>
    <xf numFmtId="170" fontId="39" fillId="0" borderId="75" xfId="2" applyNumberFormat="1" applyFont="1" applyFill="1" applyBorder="1" applyAlignment="1" applyProtection="1"/>
    <xf numFmtId="170" fontId="39" fillId="0" borderId="0" xfId="2" applyNumberFormat="1" applyFont="1" applyFill="1" applyBorder="1" applyAlignment="1" applyProtection="1"/>
    <xf numFmtId="164" fontId="44" fillId="0" borderId="81" xfId="2" applyNumberFormat="1" applyFont="1" applyBorder="1" applyProtection="1"/>
    <xf numFmtId="170" fontId="37" fillId="0" borderId="10" xfId="0" quotePrefix="1" applyNumberFormat="1" applyFont="1" applyFill="1" applyBorder="1" applyAlignment="1" applyProtection="1">
      <alignment horizontal="right"/>
    </xf>
    <xf numFmtId="170" fontId="39" fillId="0" borderId="0" xfId="4" applyNumberFormat="1" applyFont="1" applyFill="1" applyProtection="1"/>
    <xf numFmtId="166" fontId="39" fillId="0" borderId="75" xfId="4" applyNumberFormat="1" applyFont="1" applyFill="1" applyBorder="1" applyProtection="1"/>
    <xf numFmtId="166" fontId="39" fillId="0" borderId="0" xfId="4" applyNumberFormat="1" applyFont="1" applyFill="1" applyProtection="1"/>
    <xf numFmtId="166" fontId="39" fillId="0" borderId="79" xfId="4" applyNumberFormat="1" applyFont="1" applyFill="1" applyBorder="1" applyProtection="1"/>
    <xf numFmtId="170" fontId="44" fillId="0" borderId="46" xfId="2" applyNumberFormat="1" applyFont="1" applyBorder="1" applyAlignment="1" applyProtection="1"/>
    <xf numFmtId="170" fontId="44" fillId="0" borderId="10" xfId="5" applyNumberFormat="1" applyFont="1" applyFill="1" applyBorder="1" applyProtection="1"/>
    <xf numFmtId="170" fontId="37" fillId="0" borderId="0" xfId="1046" applyNumberFormat="1" applyFont="1" applyFill="1" applyProtection="1"/>
    <xf numFmtId="170" fontId="39" fillId="0" borderId="75" xfId="4" applyNumberFormat="1" applyFont="1" applyFill="1" applyBorder="1" applyProtection="1"/>
    <xf numFmtId="170" fontId="39" fillId="0" borderId="83" xfId="4" applyNumberFormat="1" applyFont="1" applyFill="1" applyBorder="1" applyProtection="1"/>
    <xf numFmtId="174" fontId="37" fillId="0" borderId="0" xfId="5517" applyNumberFormat="1" applyFont="1" applyFill="1" applyProtection="1"/>
    <xf numFmtId="174" fontId="37" fillId="0" borderId="0" xfId="2" quotePrefix="1" applyNumberFormat="1" applyFont="1" applyFill="1" applyAlignment="1" applyProtection="1"/>
    <xf numFmtId="166" fontId="37" fillId="0" borderId="21" xfId="2" applyNumberFormat="1" applyFont="1" applyBorder="1" applyAlignment="1" applyProtection="1"/>
    <xf numFmtId="170" fontId="37" fillId="0" borderId="18" xfId="2" applyNumberFormat="1" applyFont="1" applyBorder="1" applyAlignment="1" applyProtection="1"/>
    <xf numFmtId="166" fontId="64" fillId="0" borderId="0" xfId="2" applyNumberFormat="1" applyFont="1" applyFill="1" applyAlignment="1" applyProtection="1"/>
    <xf numFmtId="166" fontId="39" fillId="0" borderId="0" xfId="2" applyNumberFormat="1" applyFont="1" applyFill="1" applyAlignment="1" applyProtection="1"/>
    <xf numFmtId="166" fontId="39" fillId="0" borderId="0" xfId="2" applyNumberFormat="1" applyFont="1" applyFill="1" applyAlignment="1" applyProtection="1">
      <alignment horizontal="right"/>
    </xf>
    <xf numFmtId="170" fontId="39" fillId="0" borderId="0" xfId="2" quotePrefix="1" applyNumberFormat="1" applyFont="1" applyFill="1" applyAlignment="1" applyProtection="1">
      <alignment horizontal="center"/>
    </xf>
    <xf numFmtId="170" fontId="39" fillId="0" borderId="0" xfId="2" applyNumberFormat="1" applyFont="1" applyFill="1" applyAlignment="1" applyProtection="1">
      <alignment horizontal="right"/>
    </xf>
    <xf numFmtId="170" fontId="39" fillId="0" borderId="0" xfId="2" applyNumberFormat="1" applyFont="1" applyFill="1" applyAlignment="1" applyProtection="1"/>
    <xf numFmtId="166" fontId="39" fillId="0" borderId="21" xfId="2" applyNumberFormat="1" applyFont="1" applyFill="1" applyBorder="1" applyAlignment="1" applyProtection="1"/>
    <xf numFmtId="170" fontId="39" fillId="0" borderId="18" xfId="2" applyNumberFormat="1" applyFont="1" applyFill="1" applyBorder="1" applyAlignment="1" applyProtection="1"/>
    <xf numFmtId="170" fontId="37" fillId="0" borderId="0" xfId="5517" applyNumberFormat="1" applyFont="1" applyFill="1" applyProtection="1"/>
    <xf numFmtId="170" fontId="37" fillId="0" borderId="0" xfId="2" quotePrefix="1" applyNumberFormat="1" applyFont="1" applyFill="1" applyAlignment="1" applyProtection="1"/>
    <xf numFmtId="170" fontId="37" fillId="0" borderId="0" xfId="2" applyNumberFormat="1" applyFont="1" applyFill="1" applyAlignment="1" applyProtection="1"/>
    <xf numFmtId="170" fontId="37" fillId="0" borderId="21" xfId="2" applyNumberFormat="1" applyFont="1" applyFill="1" applyBorder="1" applyAlignment="1" applyProtection="1"/>
    <xf numFmtId="170" fontId="37" fillId="0" borderId="18" xfId="2" applyNumberFormat="1" applyFont="1" applyFill="1" applyBorder="1" applyAlignment="1" applyProtection="1"/>
    <xf numFmtId="170" fontId="44" fillId="0" borderId="45" xfId="2" applyNumberFormat="1" applyFont="1" applyFill="1" applyBorder="1" applyAlignment="1" applyProtection="1">
      <alignment horizontal="right"/>
    </xf>
    <xf numFmtId="170" fontId="44" fillId="0" borderId="0" xfId="2" applyNumberFormat="1" applyFont="1" applyFill="1" applyBorder="1" applyAlignment="1" applyProtection="1">
      <alignment horizontal="right"/>
    </xf>
    <xf numFmtId="170" fontId="39" fillId="0" borderId="20" xfId="2" applyNumberFormat="1" applyFont="1" applyBorder="1" applyAlignment="1" applyProtection="1"/>
    <xf numFmtId="170" fontId="39" fillId="0" borderId="0" xfId="2" applyNumberFormat="1" applyFont="1" applyAlignment="1" applyProtection="1"/>
    <xf numFmtId="170" fontId="39" fillId="0" borderId="0" xfId="2" applyNumberFormat="1" applyFont="1" applyBorder="1" applyAlignment="1" applyProtection="1"/>
    <xf numFmtId="166" fontId="39" fillId="0" borderId="21" xfId="2" applyNumberFormat="1" applyFont="1" applyBorder="1" applyAlignment="1" applyProtection="1"/>
    <xf numFmtId="170" fontId="39" fillId="0" borderId="18" xfId="2" applyNumberFormat="1" applyFont="1" applyBorder="1" applyAlignment="1" applyProtection="1"/>
    <xf numFmtId="166" fontId="44" fillId="0" borderId="0" xfId="2" applyNumberFormat="1" applyFont="1" applyAlignment="1" applyProtection="1"/>
    <xf numFmtId="166" fontId="44" fillId="0" borderId="21" xfId="2" applyNumberFormat="1" applyFont="1" applyBorder="1" applyAlignment="1" applyProtection="1"/>
    <xf numFmtId="170" fontId="44" fillId="0" borderId="18" xfId="2" applyNumberFormat="1" applyFont="1" applyBorder="1" applyAlignment="1" applyProtection="1"/>
    <xf numFmtId="166" fontId="39" fillId="0" borderId="0" xfId="2" applyNumberFormat="1" applyFont="1" applyBorder="1" applyAlignment="1" applyProtection="1"/>
    <xf numFmtId="170" fontId="64" fillId="0" borderId="0" xfId="2" applyNumberFormat="1" applyFont="1" applyFill="1" applyAlignment="1" applyProtection="1">
      <alignment horizontal="right"/>
    </xf>
    <xf numFmtId="170" fontId="39" fillId="0" borderId="0" xfId="2" applyNumberFormat="1" applyFont="1" applyAlignment="1" applyProtection="1">
      <alignment horizontal="right"/>
    </xf>
    <xf numFmtId="170" fontId="44" fillId="0" borderId="40" xfId="2" applyNumberFormat="1" applyFont="1" applyBorder="1" applyAlignment="1" applyProtection="1"/>
    <xf numFmtId="170" fontId="44" fillId="0" borderId="16" xfId="2" applyNumberFormat="1" applyFont="1" applyFill="1" applyBorder="1" applyAlignment="1" applyProtection="1"/>
    <xf numFmtId="166" fontId="39" fillId="0" borderId="0" xfId="2" applyNumberFormat="1" applyFont="1" applyFill="1" applyBorder="1" applyAlignment="1" applyProtection="1"/>
    <xf numFmtId="166" fontId="39" fillId="0" borderId="18" xfId="2" applyNumberFormat="1" applyFont="1" applyFill="1" applyBorder="1" applyAlignment="1" applyProtection="1"/>
    <xf numFmtId="170" fontId="39" fillId="0" borderId="71" xfId="2" applyNumberFormat="1" applyFont="1" applyFill="1" applyBorder="1" applyAlignment="1" applyProtection="1"/>
    <xf numFmtId="170" fontId="0" fillId="0" borderId="28" xfId="2" applyNumberFormat="1" applyFont="1" applyFill="1" applyBorder="1" applyAlignment="1" applyProtection="1"/>
    <xf numFmtId="174" fontId="44" fillId="0" borderId="0" xfId="2" applyNumberFormat="1" applyFont="1" applyBorder="1" applyAlignment="1" applyProtection="1"/>
    <xf numFmtId="170" fontId="44" fillId="0" borderId="66" xfId="2" applyNumberFormat="1" applyFont="1" applyBorder="1" applyAlignment="1" applyProtection="1"/>
    <xf numFmtId="165" fontId="39" fillId="0" borderId="0" xfId="2" applyNumberFormat="1" applyFont="1" applyBorder="1" applyAlignment="1" applyProtection="1"/>
    <xf numFmtId="165" fontId="39" fillId="0" borderId="0" xfId="2" applyNumberFormat="1" applyFont="1" applyAlignment="1" applyProtection="1"/>
    <xf numFmtId="174" fontId="44" fillId="0" borderId="81" xfId="2" applyNumberFormat="1" applyFont="1" applyBorder="1" applyAlignment="1" applyProtection="1"/>
    <xf numFmtId="168" fontId="39" fillId="0" borderId="0" xfId="2" applyNumberFormat="1" applyFont="1" applyAlignment="1" applyProtection="1"/>
    <xf numFmtId="165" fontId="42" fillId="0" borderId="0" xfId="2" applyNumberFormat="1" applyFont="1" applyAlignment="1" applyProtection="1"/>
    <xf numFmtId="174" fontId="37" fillId="0" borderId="0" xfId="2" applyNumberFormat="1" applyFont="1" applyFill="1" applyAlignment="1" applyProtection="1"/>
    <xf numFmtId="174" fontId="37" fillId="0" borderId="18" xfId="2" applyNumberFormat="1" applyFont="1" applyFill="1" applyBorder="1" applyAlignment="1" applyProtection="1"/>
    <xf numFmtId="174" fontId="37" fillId="0" borderId="0" xfId="2" applyNumberFormat="1" applyFont="1" applyFill="1" applyAlignment="1" applyProtection="1">
      <alignment horizontal="right"/>
    </xf>
    <xf numFmtId="174" fontId="37" fillId="0" borderId="28" xfId="2" applyNumberFormat="1" applyFont="1" applyFill="1" applyBorder="1" applyAlignment="1" applyProtection="1">
      <alignment horizontal="right"/>
    </xf>
    <xf numFmtId="174" fontId="44" fillId="0" borderId="0" xfId="2" applyNumberFormat="1" applyFont="1" applyFill="1" applyAlignment="1" applyProtection="1"/>
    <xf numFmtId="174" fontId="44" fillId="0" borderId="0" xfId="2" applyNumberFormat="1" applyFont="1" applyFill="1" applyAlignment="1" applyProtection="1">
      <alignment horizontal="right"/>
    </xf>
    <xf numFmtId="174" fontId="44" fillId="0" borderId="18" xfId="2" applyNumberFormat="1" applyFont="1" applyFill="1" applyBorder="1" applyAlignment="1" applyProtection="1"/>
    <xf numFmtId="174" fontId="37" fillId="0" borderId="18" xfId="2" applyNumberFormat="1" applyFont="1" applyFill="1" applyBorder="1" applyAlignment="1" applyProtection="1">
      <alignment horizontal="right"/>
    </xf>
    <xf numFmtId="170" fontId="39" fillId="0" borderId="28" xfId="2" applyNumberFormat="1" applyFont="1" applyFill="1" applyBorder="1" applyAlignment="1" applyProtection="1"/>
    <xf numFmtId="170" fontId="37" fillId="0" borderId="0" xfId="2" applyNumberFormat="1" applyFont="1" applyFill="1" applyAlignment="1" applyProtection="1">
      <alignment horizontal="right"/>
    </xf>
    <xf numFmtId="170" fontId="37" fillId="0" borderId="28" xfId="2" applyNumberFormat="1" applyFont="1" applyFill="1" applyBorder="1" applyAlignment="1" applyProtection="1">
      <alignment horizontal="right"/>
    </xf>
    <xf numFmtId="170" fontId="44" fillId="0" borderId="16" xfId="2" applyNumberFormat="1" applyFont="1" applyBorder="1" applyAlignment="1" applyProtection="1"/>
    <xf numFmtId="170" fontId="44" fillId="0" borderId="28" xfId="2" applyNumberFormat="1" applyFont="1" applyBorder="1" applyAlignment="1" applyProtection="1"/>
    <xf numFmtId="170" fontId="39" fillId="0" borderId="28" xfId="2" applyNumberFormat="1" applyFont="1" applyBorder="1" applyAlignment="1" applyProtection="1"/>
    <xf numFmtId="170" fontId="44" fillId="0" borderId="16" xfId="5" applyNumberFormat="1" applyFont="1" applyFill="1" applyBorder="1" applyProtection="1"/>
    <xf numFmtId="170" fontId="44" fillId="0" borderId="0" xfId="5" applyNumberFormat="1" applyFont="1" applyFill="1" applyBorder="1" applyProtection="1"/>
    <xf numFmtId="170" fontId="39" fillId="0" borderId="21" xfId="2" applyNumberFormat="1" applyFont="1" applyBorder="1" applyAlignment="1" applyProtection="1"/>
    <xf numFmtId="170" fontId="44" fillId="0" borderId="45" xfId="5" applyNumberFormat="1" applyFont="1" applyFill="1" applyBorder="1" applyProtection="1"/>
    <xf numFmtId="170" fontId="39" fillId="0" borderId="0" xfId="2" quotePrefix="1" applyNumberFormat="1" applyFont="1" applyAlignment="1" applyProtection="1">
      <alignment horizontal="right"/>
    </xf>
    <xf numFmtId="170" fontId="39" fillId="0" borderId="0" xfId="2" applyNumberFormat="1" applyFont="1" applyAlignment="1" applyProtection="1">
      <alignment horizontal="center"/>
    </xf>
    <xf numFmtId="170" fontId="39" fillId="0" borderId="21" xfId="2" applyNumberFormat="1" applyFont="1" applyFill="1" applyBorder="1" applyAlignment="1" applyProtection="1"/>
    <xf numFmtId="170" fontId="0" fillId="0" borderId="0" xfId="2" applyNumberFormat="1" applyFont="1" applyFill="1" applyAlignment="1" applyProtection="1"/>
    <xf numFmtId="170" fontId="44" fillId="0" borderId="21" xfId="2" applyNumberFormat="1" applyFont="1" applyBorder="1" applyAlignment="1" applyProtection="1"/>
    <xf numFmtId="170" fontId="39" fillId="0" borderId="0" xfId="2" quotePrefix="1" applyNumberFormat="1" applyFont="1" applyAlignment="1" applyProtection="1">
      <alignment horizontal="center"/>
    </xf>
    <xf numFmtId="170" fontId="37" fillId="0" borderId="0" xfId="2" applyNumberFormat="1" applyFont="1" applyFill="1" applyBorder="1" applyAlignment="1" applyProtection="1"/>
    <xf numFmtId="170" fontId="44" fillId="0" borderId="45" xfId="2" applyNumberFormat="1" applyFont="1" applyBorder="1" applyAlignment="1" applyProtection="1"/>
    <xf numFmtId="0" fontId="39" fillId="0" borderId="21" xfId="2" applyNumberFormat="1" applyFont="1" applyBorder="1" applyAlignment="1" applyProtection="1"/>
    <xf numFmtId="0" fontId="39" fillId="0" borderId="0" xfId="2" applyNumberFormat="1" applyFont="1" applyAlignment="1" applyProtection="1"/>
    <xf numFmtId="0" fontId="44" fillId="0" borderId="21" xfId="2" applyNumberFormat="1" applyFont="1" applyBorder="1" applyAlignment="1" applyProtection="1"/>
    <xf numFmtId="0" fontId="39" fillId="0" borderId="18" xfId="2" applyNumberFormat="1" applyFont="1" applyBorder="1" applyAlignment="1" applyProtection="1"/>
    <xf numFmtId="0" fontId="39" fillId="0" borderId="18" xfId="2" applyNumberFormat="1" applyFont="1" applyFill="1" applyBorder="1" applyAlignment="1" applyProtection="1"/>
    <xf numFmtId="170" fontId="66" fillId="0" borderId="0" xfId="2" applyNumberFormat="1" applyFont="1" applyFill="1" applyBorder="1" applyProtection="1"/>
    <xf numFmtId="170" fontId="37" fillId="0" borderId="28" xfId="2" applyNumberFormat="1" applyFont="1" applyFill="1" applyBorder="1" applyAlignment="1" applyProtection="1"/>
    <xf numFmtId="0" fontId="44" fillId="0" borderId="18" xfId="2" applyNumberFormat="1" applyFont="1" applyBorder="1" applyAlignment="1" applyProtection="1"/>
    <xf numFmtId="170" fontId="44" fillId="0" borderId="99" xfId="2" applyNumberFormat="1" applyFont="1" applyFill="1" applyBorder="1" applyAlignment="1" applyProtection="1"/>
    <xf numFmtId="170" fontId="44" fillId="0" borderId="0" xfId="2" applyNumberFormat="1" applyFont="1" applyFill="1" applyAlignment="1" applyProtection="1"/>
    <xf numFmtId="170" fontId="39" fillId="0" borderId="20" xfId="2" applyNumberFormat="1" applyFont="1" applyFill="1" applyBorder="1" applyAlignment="1" applyProtection="1"/>
    <xf numFmtId="170" fontId="44" fillId="0" borderId="10" xfId="2" applyNumberFormat="1" applyFont="1" applyBorder="1" applyAlignment="1" applyProtection="1"/>
    <xf numFmtId="166" fontId="44" fillId="0" borderId="0" xfId="2" applyNumberFormat="1" applyFont="1" applyBorder="1" applyAlignment="1" applyProtection="1"/>
    <xf numFmtId="170" fontId="44" fillId="0" borderId="10" xfId="2" applyNumberFormat="1" applyFont="1" applyFill="1" applyBorder="1" applyAlignment="1" applyProtection="1"/>
    <xf numFmtId="170" fontId="39" fillId="0" borderId="0" xfId="2" quotePrefix="1" applyNumberFormat="1" applyFont="1" applyFill="1" applyBorder="1" applyAlignment="1" applyProtection="1">
      <alignment horizontal="right"/>
    </xf>
    <xf numFmtId="174" fontId="37" fillId="0" borderId="0" xfId="2" quotePrefix="1" applyNumberFormat="1" applyFont="1" applyFill="1" applyAlignment="1">
      <alignment horizontal="center"/>
    </xf>
    <xf numFmtId="173" fontId="37" fillId="0" borderId="0" xfId="740" quotePrefix="1" applyNumberFormat="1" applyFont="1" applyFill="1" applyAlignment="1">
      <alignment horizontal="left"/>
    </xf>
    <xf numFmtId="170" fontId="44" fillId="0" borderId="107" xfId="2" applyNumberFormat="1" applyFont="1" applyFill="1" applyBorder="1" applyAlignment="1"/>
    <xf numFmtId="174" fontId="44" fillId="0" borderId="87" xfId="2" applyNumberFormat="1" applyFont="1" applyFill="1" applyBorder="1" applyAlignment="1"/>
    <xf numFmtId="174" fontId="44" fillId="0" borderId="0" xfId="2" applyNumberFormat="1" applyFont="1" applyFill="1" applyAlignment="1">
      <alignment horizontal="right"/>
    </xf>
    <xf numFmtId="194" fontId="44" fillId="0" borderId="66" xfId="2" applyNumberFormat="1" applyFont="1" applyBorder="1" applyAlignment="1"/>
    <xf numFmtId="170" fontId="44" fillId="0" borderId="16" xfId="0" quotePrefix="1" applyNumberFormat="1" applyFont="1" applyFill="1" applyBorder="1" applyAlignment="1">
      <alignment horizontal="center"/>
    </xf>
    <xf numFmtId="0" fontId="155" fillId="0" borderId="0" xfId="5458" applyNumberFormat="1" applyFont="1" applyFill="1"/>
    <xf numFmtId="0" fontId="155" fillId="0" borderId="0" xfId="5458" applyNumberFormat="1" applyFont="1" applyFill="1" applyBorder="1"/>
    <xf numFmtId="0" fontId="67" fillId="0" borderId="0" xfId="5458" applyNumberFormat="1" applyFont="1" applyFill="1"/>
    <xf numFmtId="0" fontId="156" fillId="0" borderId="0" xfId="5458" applyNumberFormat="1" applyFont="1" applyFill="1"/>
    <xf numFmtId="0" fontId="67" fillId="0" borderId="0" xfId="5458" applyNumberFormat="1" applyFont="1" applyFill="1" applyAlignment="1">
      <alignment horizontal="right" vertical="top"/>
    </xf>
    <xf numFmtId="0" fontId="156" fillId="0" borderId="0" xfId="5458" applyNumberFormat="1" applyFont="1" applyFill="1" applyBorder="1" applyAlignment="1">
      <alignment horizontal="right"/>
    </xf>
    <xf numFmtId="0" fontId="155" fillId="0" borderId="0" xfId="5458" applyNumberFormat="1" applyFont="1" applyFill="1" applyAlignment="1"/>
    <xf numFmtId="0" fontId="67" fillId="0" borderId="0" xfId="5458" applyNumberFormat="1" applyFont="1" applyFill="1" applyAlignment="1">
      <alignment horizontal="left" vertical="top"/>
    </xf>
    <xf numFmtId="0" fontId="156" fillId="0" borderId="0" xfId="5458" applyNumberFormat="1" applyFont="1" applyFill="1" applyAlignment="1">
      <alignment horizontal="left" vertical="top"/>
    </xf>
    <xf numFmtId="0" fontId="156" fillId="0" borderId="0" xfId="5458" applyNumberFormat="1" applyFont="1" applyFill="1" applyAlignment="1">
      <alignment horizontal="left"/>
    </xf>
    <xf numFmtId="0" fontId="155" fillId="0" borderId="0" xfId="5458" quotePrefix="1" applyNumberFormat="1" applyFont="1" applyFill="1" applyAlignment="1"/>
    <xf numFmtId="0" fontId="156" fillId="0" borderId="0" xfId="5458" applyNumberFormat="1" applyFont="1" applyFill="1" applyAlignment="1">
      <alignment horizontal="center" vertical="top"/>
    </xf>
    <xf numFmtId="0" fontId="156" fillId="0" borderId="0" xfId="5458" applyNumberFormat="1" applyFont="1" applyFill="1" applyAlignment="1">
      <alignment horizontal="center"/>
    </xf>
    <xf numFmtId="0" fontId="156" fillId="0" borderId="0" xfId="5458" quotePrefix="1" applyNumberFormat="1" applyFont="1" applyFill="1" applyAlignment="1">
      <alignment horizontal="center"/>
    </xf>
    <xf numFmtId="0" fontId="156" fillId="0" borderId="66" xfId="5458" applyNumberFormat="1" applyFont="1" applyFill="1" applyBorder="1" applyAlignment="1">
      <alignment horizontal="centerContinuous"/>
    </xf>
    <xf numFmtId="0" fontId="156" fillId="0" borderId="0" xfId="5458" applyNumberFormat="1" applyFont="1" applyFill="1" applyAlignment="1">
      <alignment horizontal="centerContinuous"/>
    </xf>
    <xf numFmtId="0" fontId="156" fillId="0" borderId="0" xfId="5458" applyNumberFormat="1" applyFont="1" applyFill="1" applyBorder="1" applyAlignment="1">
      <alignment horizontal="center"/>
    </xf>
    <xf numFmtId="0" fontId="156" fillId="0" borderId="66" xfId="5458" applyNumberFormat="1" applyFont="1" applyFill="1" applyBorder="1"/>
    <xf numFmtId="0" fontId="156" fillId="0" borderId="0" xfId="5458" applyNumberFormat="1" applyFont="1" applyFill="1" applyBorder="1"/>
    <xf numFmtId="0" fontId="156" fillId="0" borderId="66" xfId="5458" quotePrefix="1" applyNumberFormat="1" applyFont="1" applyFill="1" applyBorder="1" applyAlignment="1">
      <alignment horizontal="center"/>
    </xf>
    <xf numFmtId="49" fontId="156" fillId="0" borderId="66" xfId="5458" applyNumberFormat="1" applyFont="1" applyFill="1" applyBorder="1" applyAlignment="1">
      <alignment horizontal="center"/>
    </xf>
    <xf numFmtId="49" fontId="156" fillId="0" borderId="66" xfId="5458" quotePrefix="1" applyNumberFormat="1" applyFont="1" applyFill="1" applyBorder="1" applyAlignment="1">
      <alignment horizontal="center"/>
    </xf>
    <xf numFmtId="0" fontId="156" fillId="0" borderId="107" xfId="5458" applyNumberFormat="1" applyFont="1" applyFill="1" applyBorder="1" applyAlignment="1">
      <alignment horizontal="center"/>
    </xf>
    <xf numFmtId="0" fontId="156" fillId="0" borderId="66" xfId="5458" applyNumberFormat="1" applyFont="1" applyFill="1" applyBorder="1" applyAlignment="1">
      <alignment horizontal="center"/>
    </xf>
    <xf numFmtId="39" fontId="155" fillId="0" borderId="0" xfId="5458" quotePrefix="1" applyNumberFormat="1" applyFont="1" applyFill="1" applyBorder="1" applyAlignment="1"/>
    <xf numFmtId="39" fontId="157" fillId="0" borderId="0" xfId="5458" quotePrefix="1" applyNumberFormat="1" applyFont="1" applyFill="1" applyBorder="1" applyAlignment="1"/>
    <xf numFmtId="39" fontId="155" fillId="0" borderId="0" xfId="5458" applyNumberFormat="1" applyFont="1" applyFill="1" applyBorder="1" applyAlignment="1"/>
    <xf numFmtId="0" fontId="157" fillId="0" borderId="0" xfId="5458" applyNumberFormat="1" applyFont="1" applyFill="1" applyBorder="1" applyAlignment="1"/>
    <xf numFmtId="0" fontId="155" fillId="0" borderId="0" xfId="5458" applyNumberFormat="1" applyFont="1" applyFill="1" applyBorder="1" applyAlignment="1"/>
    <xf numFmtId="42" fontId="157" fillId="0" borderId="0" xfId="5458" applyNumberFormat="1" applyFont="1" applyFill="1" applyBorder="1" applyAlignment="1">
      <alignment horizontal="right"/>
    </xf>
    <xf numFmtId="42" fontId="157" fillId="0" borderId="0" xfId="5458" applyNumberFormat="1" applyFont="1" applyFill="1" applyAlignment="1">
      <alignment horizontal="right"/>
    </xf>
    <xf numFmtId="42" fontId="157" fillId="0" borderId="0" xfId="5458" applyNumberFormat="1" applyFont="1" applyFill="1" applyAlignment="1">
      <alignment horizontal="right" vertical="top"/>
    </xf>
    <xf numFmtId="41" fontId="157" fillId="0" borderId="0" xfId="5458" applyNumberFormat="1" applyFont="1" applyFill="1" applyAlignment="1">
      <alignment horizontal="center"/>
    </xf>
    <xf numFmtId="41" fontId="157" fillId="0" borderId="0" xfId="5458" applyNumberFormat="1" applyFont="1" applyFill="1" applyAlignment="1">
      <alignment horizontal="right"/>
    </xf>
    <xf numFmtId="42" fontId="155" fillId="0" borderId="0" xfId="5458" applyNumberFormat="1" applyFont="1" applyFill="1" applyBorder="1" applyAlignment="1">
      <alignment horizontal="right"/>
    </xf>
    <xf numFmtId="0" fontId="157" fillId="0" borderId="0" xfId="5458" applyNumberFormat="1" applyFont="1" applyFill="1" applyAlignment="1">
      <alignment horizontal="right"/>
    </xf>
    <xf numFmtId="41" fontId="155" fillId="0" borderId="0" xfId="5458" applyNumberFormat="1" applyFont="1" applyFill="1" applyAlignment="1">
      <alignment horizontal="right"/>
    </xf>
    <xf numFmtId="41" fontId="155" fillId="0" borderId="0" xfId="5458" applyNumberFormat="1" applyFont="1" applyFill="1" applyBorder="1" applyAlignment="1">
      <alignment horizontal="right"/>
    </xf>
    <xf numFmtId="41" fontId="157" fillId="0" borderId="0" xfId="5458" applyNumberFormat="1" applyFont="1" applyFill="1" applyAlignment="1"/>
    <xf numFmtId="0" fontId="155" fillId="0" borderId="0" xfId="5458" quotePrefix="1" applyNumberFormat="1" applyFont="1" applyFill="1" applyAlignment="1">
      <alignment horizontal="left" vertical="top"/>
    </xf>
    <xf numFmtId="0" fontId="155" fillId="0" borderId="0" xfId="5458" applyNumberFormat="1" applyFont="1" applyFill="1" applyAlignment="1">
      <alignment horizontal="left" vertical="top"/>
    </xf>
    <xf numFmtId="41" fontId="155" fillId="0" borderId="0" xfId="5458" applyNumberFormat="1" applyFont="1" applyFill="1" applyAlignment="1"/>
    <xf numFmtId="190" fontId="37" fillId="0" borderId="0" xfId="5458" applyNumberFormat="1"/>
    <xf numFmtId="164" fontId="37" fillId="0" borderId="0" xfId="5458" applyNumberFormat="1"/>
    <xf numFmtId="0" fontId="157" fillId="0" borderId="0" xfId="5458" applyNumberFormat="1" applyFont="1" applyFill="1" applyAlignment="1"/>
    <xf numFmtId="0" fontId="37" fillId="0" borderId="0" xfId="5458" applyNumberFormat="1" applyAlignment="1"/>
    <xf numFmtId="0" fontId="156" fillId="0" borderId="0" xfId="5458" quotePrefix="1" applyNumberFormat="1" applyFont="1" applyFill="1" applyAlignment="1">
      <alignment horizontal="left" vertical="top"/>
    </xf>
    <xf numFmtId="42" fontId="156" fillId="0" borderId="87" xfId="5458" applyNumberFormat="1" applyFont="1" applyFill="1" applyBorder="1" applyAlignment="1">
      <alignment horizontal="right" vertical="top"/>
    </xf>
    <xf numFmtId="42" fontId="156" fillId="0" borderId="0" xfId="5458" applyNumberFormat="1" applyFont="1" applyFill="1" applyAlignment="1">
      <alignment horizontal="right" vertical="top"/>
    </xf>
    <xf numFmtId="42" fontId="156" fillId="0" borderId="0" xfId="5458" applyNumberFormat="1" applyFont="1" applyFill="1" applyAlignment="1">
      <alignment horizontal="right"/>
    </xf>
    <xf numFmtId="0" fontId="155" fillId="0" borderId="0" xfId="5458" quotePrefix="1" applyNumberFormat="1" applyFont="1" applyFill="1"/>
    <xf numFmtId="37" fontId="155" fillId="0" borderId="0" xfId="5458" applyNumberFormat="1" applyFont="1" applyFill="1"/>
    <xf numFmtId="165" fontId="134" fillId="0" borderId="0" xfId="0" applyNumberFormat="1" applyFont="1" applyFill="1" applyBorder="1" applyAlignment="1" applyProtection="1">
      <protection locked="0"/>
    </xf>
    <xf numFmtId="177" fontId="42" fillId="0" borderId="0" xfId="1767" applyNumberFormat="1" applyFont="1" applyFill="1" applyAlignment="1"/>
    <xf numFmtId="170" fontId="77" fillId="0" borderId="0" xfId="2" quotePrefix="1" applyNumberFormat="1" applyFont="1" applyFill="1" applyAlignment="1">
      <alignment horizontal="right"/>
    </xf>
    <xf numFmtId="0" fontId="44" fillId="0" borderId="66" xfId="2" applyNumberFormat="1" applyFont="1" applyBorder="1" applyAlignment="1">
      <alignment horizontal="center"/>
    </xf>
    <xf numFmtId="170" fontId="39" fillId="0" borderId="66" xfId="2" applyNumberFormat="1" applyFont="1" applyFill="1" applyBorder="1" applyAlignment="1"/>
    <xf numFmtId="170" fontId="67" fillId="0" borderId="0" xfId="2" quotePrefix="1" applyNumberFormat="1" applyFont="1" applyAlignment="1"/>
    <xf numFmtId="170" fontId="67" fillId="0" borderId="85" xfId="2" quotePrefix="1" applyNumberFormat="1" applyFont="1" applyBorder="1" applyAlignment="1">
      <alignment horizontal="right"/>
    </xf>
    <xf numFmtId="170" fontId="39" fillId="0" borderId="46" xfId="4" applyNumberFormat="1" applyFont="1" applyFill="1" applyBorder="1"/>
    <xf numFmtId="170" fontId="39" fillId="0" borderId="46" xfId="4" applyNumberFormat="1" applyFont="1" applyFill="1" applyBorder="1" applyAlignment="1">
      <alignment horizontal="center"/>
    </xf>
    <xf numFmtId="172" fontId="44" fillId="0" borderId="81" xfId="0" applyNumberFormat="1" applyFont="1" applyBorder="1"/>
    <xf numFmtId="0" fontId="49" fillId="0" borderId="0" xfId="8" applyNumberFormat="1" applyFont="1" applyFill="1" applyBorder="1" applyAlignment="1" applyProtection="1"/>
    <xf numFmtId="0" fontId="49" fillId="0" borderId="0" xfId="0" applyNumberFormat="1" applyFont="1" applyFill="1" applyBorder="1" applyAlignment="1" applyProtection="1"/>
    <xf numFmtId="169" fontId="49" fillId="0" borderId="0" xfId="8" applyNumberFormat="1" applyFont="1" applyAlignment="1">
      <alignment horizontal="right" vertical="top"/>
    </xf>
    <xf numFmtId="166" fontId="49" fillId="0" borderId="0" xfId="8" applyNumberFormat="1" applyFont="1" applyAlignment="1">
      <alignment horizontal="right" vertical="top"/>
    </xf>
    <xf numFmtId="166" fontId="49" fillId="0" borderId="0" xfId="8" quotePrefix="1" applyNumberFormat="1" applyFont="1" applyAlignment="1">
      <alignment horizontal="right"/>
    </xf>
    <xf numFmtId="0" fontId="49" fillId="0" borderId="0" xfId="8" applyFont="1" applyAlignment="1">
      <alignment horizontal="left" vertical="top"/>
    </xf>
    <xf numFmtId="0" fontId="154" fillId="0" borderId="0" xfId="2" applyNumberFormat="1" applyFont="1" applyBorder="1" applyAlignment="1"/>
    <xf numFmtId="165" fontId="194" fillId="0" borderId="0" xfId="2" applyNumberFormat="1" applyFont="1" applyAlignment="1"/>
    <xf numFmtId="44" fontId="116" fillId="0" borderId="0" xfId="841" applyNumberFormat="1" applyFont="1"/>
    <xf numFmtId="170" fontId="37" fillId="0" borderId="46" xfId="0" quotePrefix="1" applyNumberFormat="1" applyFont="1" applyFill="1" applyBorder="1" applyAlignment="1" applyProtection="1">
      <alignment horizontal="right"/>
      <protection locked="0"/>
    </xf>
    <xf numFmtId="170" fontId="67" fillId="0" borderId="33" xfId="2" quotePrefix="1" applyNumberFormat="1" applyFont="1" applyBorder="1" applyAlignment="1">
      <alignment horizontal="right"/>
    </xf>
    <xf numFmtId="170" fontId="67" fillId="0" borderId="33" xfId="2" quotePrefix="1" applyNumberFormat="1" applyFont="1" applyBorder="1" applyAlignment="1">
      <alignment horizontal="center"/>
    </xf>
    <xf numFmtId="169" fontId="44" fillId="0" borderId="21" xfId="2" applyNumberFormat="1" applyFont="1" applyFill="1" applyBorder="1" applyAlignment="1"/>
    <xf numFmtId="174" fontId="37" fillId="0" borderId="0" xfId="2" applyNumberFormat="1" applyFont="1" applyFill="1" applyBorder="1" applyAlignment="1">
      <alignment horizontal="right"/>
    </xf>
    <xf numFmtId="172" fontId="170" fillId="0" borderId="66" xfId="1940" applyNumberFormat="1" applyFont="1" applyBorder="1" applyAlignment="1"/>
    <xf numFmtId="0" fontId="0" fillId="0" borderId="0" xfId="2" applyFont="1" applyFill="1" applyBorder="1" applyAlignment="1"/>
    <xf numFmtId="0" fontId="44" fillId="0" borderId="66" xfId="2" quotePrefix="1" applyNumberFormat="1" applyFont="1" applyFill="1" applyBorder="1" applyAlignment="1">
      <alignment horizontal="center"/>
    </xf>
    <xf numFmtId="170" fontId="39" fillId="0" borderId="0" xfId="2" quotePrefix="1" applyNumberFormat="1" applyFont="1" applyFill="1" applyAlignment="1" applyProtection="1">
      <alignment horizontal="right"/>
    </xf>
    <xf numFmtId="168" fontId="39" fillId="0" borderId="0" xfId="2" applyNumberFormat="1" applyFont="1" applyFill="1" applyAlignment="1"/>
    <xf numFmtId="0" fontId="98" fillId="0" borderId="0" xfId="1767" applyFont="1" applyFill="1"/>
    <xf numFmtId="172" fontId="170" fillId="0" borderId="66" xfId="2" applyNumberFormat="1" applyFont="1" applyBorder="1" applyAlignment="1"/>
    <xf numFmtId="172" fontId="170" fillId="0" borderId="0" xfId="1940" applyNumberFormat="1" applyFont="1" applyFill="1" applyAlignment="1"/>
    <xf numFmtId="172" fontId="44" fillId="0" borderId="66" xfId="1940" applyNumberFormat="1" applyFont="1" applyBorder="1" applyAlignment="1"/>
    <xf numFmtId="172" fontId="44" fillId="0" borderId="0" xfId="1940" applyNumberFormat="1" applyFont="1" applyBorder="1" applyAlignment="1"/>
    <xf numFmtId="43" fontId="44" fillId="0" borderId="0" xfId="0" applyNumberFormat="1" applyFont="1" applyFill="1" applyBorder="1" applyAlignment="1" applyProtection="1">
      <alignment horizontal="right"/>
    </xf>
    <xf numFmtId="172" fontId="37" fillId="0" borderId="0" xfId="0" applyNumberFormat="1" applyFont="1"/>
    <xf numFmtId="177" fontId="42" fillId="0" borderId="0" xfId="740" applyNumberFormat="1" applyFont="1" applyBorder="1" applyAlignment="1"/>
    <xf numFmtId="177" fontId="44" fillId="0" borderId="0" xfId="740" quotePrefix="1" applyNumberFormat="1" applyFont="1" applyBorder="1" applyAlignment="1">
      <alignment horizontal="right"/>
    </xf>
    <xf numFmtId="0" fontId="85" fillId="33" borderId="0" xfId="740" applyFont="1" applyFill="1" applyBorder="1" applyAlignment="1">
      <alignment horizontal="right"/>
    </xf>
    <xf numFmtId="165" fontId="100" fillId="0" borderId="0" xfId="740" applyNumberFormat="1" applyFont="1" applyBorder="1" applyAlignment="1"/>
    <xf numFmtId="177" fontId="37" fillId="0" borderId="0" xfId="740" applyNumberFormat="1" applyFont="1" applyFill="1" applyBorder="1" applyAlignment="1">
      <alignment horizontal="left"/>
    </xf>
    <xf numFmtId="177" fontId="37" fillId="0" borderId="0" xfId="740" quotePrefix="1" applyNumberFormat="1" applyFont="1" applyBorder="1" applyAlignment="1">
      <alignment horizontal="center"/>
    </xf>
    <xf numFmtId="177" fontId="98" fillId="0" borderId="0" xfId="740" applyNumberFormat="1" applyFont="1" applyBorder="1"/>
    <xf numFmtId="177" fontId="37" fillId="0" borderId="0" xfId="740" applyNumberFormat="1" applyFont="1" applyBorder="1" applyAlignment="1">
      <alignment horizontal="center"/>
    </xf>
    <xf numFmtId="177" fontId="37" fillId="0" borderId="0" xfId="1767" quotePrefix="1" applyNumberFormat="1" applyFont="1" applyFill="1" applyBorder="1" applyAlignment="1">
      <alignment horizontal="center"/>
    </xf>
    <xf numFmtId="177" fontId="42" fillId="0" borderId="0" xfId="1767" applyNumberFormat="1" applyFont="1" applyFill="1" applyBorder="1" applyAlignment="1">
      <alignment horizontal="center"/>
    </xf>
    <xf numFmtId="177" fontId="98" fillId="0" borderId="0" xfId="740" applyNumberFormat="1" applyFont="1" applyFill="1" applyBorder="1"/>
    <xf numFmtId="177" fontId="98" fillId="0" borderId="0" xfId="740" applyNumberFormat="1" applyFont="1" applyBorder="1" applyAlignment="1">
      <alignment horizontal="left"/>
    </xf>
    <xf numFmtId="177" fontId="0" fillId="0" borderId="0" xfId="1767" applyNumberFormat="1" applyFont="1" applyFill="1" applyBorder="1" applyAlignment="1">
      <alignment horizontal="center" vertical="top"/>
    </xf>
    <xf numFmtId="177" fontId="37" fillId="0" borderId="0" xfId="1767" applyNumberFormat="1" applyFont="1" applyFill="1" applyBorder="1" applyAlignment="1">
      <alignment horizontal="center"/>
    </xf>
    <xf numFmtId="177" fontId="44" fillId="0" borderId="0" xfId="1767" applyNumberFormat="1" applyFont="1" applyFill="1" applyBorder="1" applyAlignment="1"/>
    <xf numFmtId="177" fontId="102" fillId="0" borderId="0" xfId="740" applyNumberFormat="1" applyFont="1" applyBorder="1"/>
    <xf numFmtId="177" fontId="37" fillId="0" borderId="0" xfId="740" quotePrefix="1" applyNumberFormat="1" applyFont="1" applyFill="1" applyBorder="1" applyAlignment="1">
      <alignment horizontal="center"/>
    </xf>
    <xf numFmtId="170" fontId="37" fillId="0" borderId="46" xfId="5517" applyNumberFormat="1" applyFont="1" applyFill="1" applyBorder="1"/>
    <xf numFmtId="170" fontId="67" fillId="0" borderId="85" xfId="2" quotePrefix="1" applyNumberFormat="1" applyFont="1" applyBorder="1" applyAlignment="1">
      <alignment horizontal="center"/>
    </xf>
    <xf numFmtId="0" fontId="37" fillId="0" borderId="0" xfId="0" applyNumberFormat="1" applyFont="1" applyFill="1" applyBorder="1" applyAlignment="1" applyProtection="1">
      <alignment horizontal="left"/>
    </xf>
    <xf numFmtId="170" fontId="44" fillId="0" borderId="10" xfId="0" applyNumberFormat="1" applyFont="1" applyBorder="1" applyAlignment="1">
      <alignment horizontal="center"/>
    </xf>
    <xf numFmtId="174" fontId="64" fillId="0" borderId="0" xfId="2" applyNumberFormat="1" applyFont="1" applyFill="1" applyAlignment="1"/>
    <xf numFmtId="170" fontId="60" fillId="0" borderId="0" xfId="2" quotePrefix="1" applyNumberFormat="1" applyFont="1" applyFill="1" applyAlignment="1"/>
    <xf numFmtId="170" fontId="37" fillId="0" borderId="66" xfId="0" quotePrefix="1" applyNumberFormat="1" applyFont="1" applyBorder="1" applyAlignment="1" applyProtection="1">
      <alignment horizontal="right"/>
      <protection locked="0"/>
    </xf>
    <xf numFmtId="170" fontId="62" fillId="0" borderId="66" xfId="2" quotePrefix="1" applyNumberFormat="1" applyFont="1" applyBorder="1" applyAlignment="1">
      <alignment horizontal="right"/>
    </xf>
    <xf numFmtId="170" fontId="62" fillId="0" borderId="66" xfId="2" quotePrefix="1" applyNumberFormat="1" applyFont="1" applyBorder="1" applyAlignment="1"/>
    <xf numFmtId="170" fontId="62" fillId="0" borderId="43" xfId="2" quotePrefix="1" applyNumberFormat="1" applyFont="1" applyBorder="1" applyAlignment="1"/>
    <xf numFmtId="0" fontId="44" fillId="0" borderId="28" xfId="2" applyNumberFormat="1" applyFont="1" applyBorder="1" applyAlignment="1"/>
    <xf numFmtId="0" fontId="44" fillId="0" borderId="28" xfId="2" applyNumberFormat="1" applyFont="1" applyBorder="1" applyAlignment="1">
      <alignment horizontal="center"/>
    </xf>
    <xf numFmtId="172" fontId="44" fillId="0" borderId="16" xfId="0" applyNumberFormat="1" applyFont="1" applyBorder="1" applyAlignment="1" applyProtection="1">
      <protection locked="0"/>
    </xf>
    <xf numFmtId="0" fontId="37" fillId="0" borderId="0" xfId="17" applyNumberFormat="1" applyFont="1" applyBorder="1" applyAlignment="1">
      <alignment horizontal="center"/>
    </xf>
    <xf numFmtId="170" fontId="44" fillId="0" borderId="85" xfId="2" applyNumberFormat="1" applyFont="1" applyBorder="1" applyAlignment="1"/>
    <xf numFmtId="170" fontId="62" fillId="0" borderId="43" xfId="2" quotePrefix="1" applyNumberFormat="1" applyFont="1" applyFill="1" applyBorder="1" applyAlignment="1">
      <alignment horizontal="right"/>
    </xf>
    <xf numFmtId="4" fontId="37" fillId="0" borderId="0" xfId="1028" applyNumberFormat="1" applyFont="1" applyFill="1" applyAlignment="1">
      <alignment horizontal="left"/>
    </xf>
    <xf numFmtId="165" fontId="85" fillId="0" borderId="0" xfId="2" applyNumberFormat="1" applyFont="1" applyAlignment="1"/>
    <xf numFmtId="174" fontId="67" fillId="0" borderId="0" xfId="2" quotePrefix="1" applyNumberFormat="1" applyFont="1" applyFill="1" applyBorder="1" applyAlignment="1"/>
    <xf numFmtId="174" fontId="170" fillId="0" borderId="20" xfId="2" quotePrefix="1" applyNumberFormat="1" applyFont="1" applyFill="1" applyBorder="1" applyAlignment="1">
      <alignment horizontal="right"/>
    </xf>
    <xf numFmtId="174" fontId="39" fillId="0" borderId="0" xfId="2" applyNumberFormat="1" applyFont="1" applyFill="1" applyAlignment="1">
      <alignment horizontal="right"/>
    </xf>
    <xf numFmtId="170" fontId="39" fillId="0" borderId="10" xfId="2" applyNumberFormat="1" applyFont="1" applyFill="1" applyBorder="1" applyAlignment="1">
      <alignment horizontal="right"/>
    </xf>
    <xf numFmtId="170" fontId="39" fillId="0" borderId="0" xfId="2" applyNumberFormat="1" applyFont="1" applyFill="1"/>
    <xf numFmtId="37" fontId="39" fillId="0" borderId="0" xfId="2" applyNumberFormat="1" applyFont="1" applyFill="1" applyBorder="1"/>
    <xf numFmtId="37" fontId="39" fillId="0" borderId="0" xfId="2" applyNumberFormat="1" applyFont="1" applyFill="1"/>
    <xf numFmtId="5" fontId="37" fillId="0" borderId="0" xfId="2" applyNumberFormat="1" applyFont="1" applyFill="1" applyAlignment="1"/>
    <xf numFmtId="170" fontId="0" fillId="0" borderId="0" xfId="2" applyNumberFormat="1" applyFont="1" applyBorder="1" applyAlignment="1">
      <alignment horizontal="center" vertical="top"/>
    </xf>
    <xf numFmtId="170" fontId="39" fillId="0" borderId="46" xfId="2" applyNumberFormat="1" applyFont="1" applyBorder="1" applyAlignment="1" applyProtection="1"/>
    <xf numFmtId="170" fontId="44" fillId="0" borderId="107" xfId="2" applyNumberFormat="1" applyFont="1" applyFill="1" applyBorder="1" applyAlignment="1" applyProtection="1"/>
    <xf numFmtId="170" fontId="44" fillId="0" borderId="10" xfId="1046" applyNumberFormat="1" applyFont="1" applyFill="1" applyBorder="1" applyProtection="1"/>
    <xf numFmtId="170" fontId="37" fillId="0" borderId="102" xfId="2" applyNumberFormat="1" applyFont="1" applyFill="1" applyBorder="1" applyAlignment="1" applyProtection="1"/>
    <xf numFmtId="170" fontId="37" fillId="0" borderId="0" xfId="2" quotePrefix="1" applyNumberFormat="1" applyFont="1" applyFill="1" applyBorder="1" applyAlignment="1" applyProtection="1">
      <alignment horizontal="right"/>
    </xf>
    <xf numFmtId="165" fontId="42" fillId="0" borderId="0" xfId="2" applyNumberFormat="1" applyFont="1" applyAlignment="1">
      <alignment horizontal="centerContinuous"/>
    </xf>
    <xf numFmtId="170" fontId="67" fillId="0" borderId="33" xfId="2" applyNumberFormat="1" applyFont="1" applyBorder="1" applyAlignment="1">
      <alignment horizontal="right"/>
    </xf>
    <xf numFmtId="44" fontId="42" fillId="0" borderId="0" xfId="0" applyNumberFormat="1" applyFont="1" applyFill="1" applyAlignment="1">
      <alignment horizontal="right" vertical="top"/>
    </xf>
    <xf numFmtId="44" fontId="43" fillId="0" borderId="0" xfId="0" applyNumberFormat="1" applyFont="1" applyFill="1" applyBorder="1" applyAlignment="1">
      <alignment horizontal="right"/>
    </xf>
    <xf numFmtId="164" fontId="67" fillId="0" borderId="66" xfId="0" applyFont="1" applyBorder="1" applyAlignment="1">
      <alignment horizontal="center"/>
    </xf>
    <xf numFmtId="41" fontId="37" fillId="0" borderId="66" xfId="0" quotePrefix="1" applyNumberFormat="1" applyFont="1" applyBorder="1" applyAlignment="1">
      <alignment horizontal="center"/>
    </xf>
    <xf numFmtId="41" fontId="44" fillId="0" borderId="107" xfId="739" applyNumberFormat="1" applyFont="1" applyBorder="1" applyAlignment="1"/>
    <xf numFmtId="194" fontId="37" fillId="0" borderId="10" xfId="0" applyNumberFormat="1" applyFont="1" applyBorder="1" applyProtection="1"/>
    <xf numFmtId="194" fontId="171" fillId="0" borderId="66" xfId="2" applyNumberFormat="1" applyFont="1" applyBorder="1" applyAlignment="1"/>
    <xf numFmtId="43" fontId="37" fillId="0" borderId="0" xfId="17924" applyFont="1" applyFill="1" applyAlignment="1" applyProtection="1">
      <alignment horizontal="right"/>
    </xf>
    <xf numFmtId="0" fontId="43" fillId="0" borderId="0" xfId="9967" quotePrefix="1" applyNumberFormat="1" applyFont="1" applyFill="1" applyBorder="1" applyAlignment="1">
      <alignment horizontal="center"/>
    </xf>
    <xf numFmtId="0" fontId="43" fillId="0" borderId="66" xfId="9967" applyNumberFormat="1" applyFont="1" applyFill="1" applyBorder="1" applyAlignment="1" applyProtection="1">
      <alignment horizontal="centerContinuous"/>
    </xf>
    <xf numFmtId="43" fontId="42" fillId="0" borderId="0" xfId="0" quotePrefix="1" applyNumberFormat="1" applyFont="1" applyFill="1" applyAlignment="1"/>
    <xf numFmtId="0" fontId="43" fillId="0" borderId="66" xfId="9967" applyNumberFormat="1" applyFont="1" applyBorder="1" applyAlignment="1">
      <alignment horizontal="centerContinuous"/>
    </xf>
    <xf numFmtId="0" fontId="39" fillId="0" borderId="106" xfId="4" applyFont="1" applyFill="1" applyBorder="1"/>
    <xf numFmtId="166" fontId="39" fillId="0" borderId="106" xfId="4" applyNumberFormat="1" applyFont="1" applyFill="1" applyBorder="1" applyProtection="1"/>
    <xf numFmtId="0" fontId="43" fillId="0" borderId="66" xfId="9967" applyFont="1" applyBorder="1" applyAlignment="1">
      <alignment horizontal="centerContinuous" vertical="top"/>
    </xf>
    <xf numFmtId="199" fontId="42" fillId="0" borderId="0" xfId="24804" applyNumberFormat="1" applyFont="1" applyFill="1" applyBorder="1" applyAlignment="1"/>
    <xf numFmtId="190" fontId="168" fillId="0" borderId="0" xfId="0" applyNumberFormat="1" applyFont="1" applyBorder="1" applyAlignment="1"/>
    <xf numFmtId="190" fontId="111" fillId="0" borderId="0" xfId="0" applyNumberFormat="1" applyFont="1" applyBorder="1" applyAlignment="1">
      <alignment horizontal="right"/>
    </xf>
    <xf numFmtId="42" fontId="43" fillId="0" borderId="87" xfId="0" applyNumberFormat="1" applyFont="1" applyFill="1" applyBorder="1" applyAlignment="1">
      <alignment horizontal="right"/>
    </xf>
    <xf numFmtId="170" fontId="60" fillId="0" borderId="0" xfId="2" applyNumberFormat="1" applyFont="1" applyFill="1" applyAlignment="1">
      <alignment horizontal="center"/>
    </xf>
    <xf numFmtId="170" fontId="138" fillId="0" borderId="0" xfId="2" applyNumberFormat="1" applyFont="1" applyFill="1" applyAlignment="1"/>
    <xf numFmtId="170" fontId="60" fillId="0" borderId="66" xfId="2" applyNumberFormat="1" applyFont="1" applyFill="1" applyBorder="1" applyAlignment="1">
      <alignment horizontal="center"/>
    </xf>
    <xf numFmtId="170" fontId="62" fillId="0" borderId="43" xfId="2" quotePrefix="1" applyNumberFormat="1" applyFont="1" applyBorder="1" applyAlignment="1">
      <alignment horizontal="right"/>
    </xf>
    <xf numFmtId="37" fontId="44" fillId="0" borderId="0" xfId="1028" applyNumberFormat="1" applyFont="1" applyFill="1" applyAlignment="1" applyProtection="1">
      <alignment horizontal="right"/>
    </xf>
    <xf numFmtId="4" fontId="44" fillId="0" borderId="0" xfId="1028" quotePrefix="1" applyNumberFormat="1" applyFont="1" applyFill="1" applyBorder="1" applyAlignment="1" applyProtection="1">
      <alignment horizontal="left"/>
    </xf>
    <xf numFmtId="43" fontId="98" fillId="0" borderId="0" xfId="0" applyNumberFormat="1" applyFont="1"/>
    <xf numFmtId="177" fontId="37" fillId="0" borderId="0" xfId="1767" applyNumberFormat="1" applyFont="1" applyFill="1" applyBorder="1" applyAlignment="1">
      <alignment horizontal="left"/>
    </xf>
    <xf numFmtId="164" fontId="171" fillId="0" borderId="10" xfId="1940" applyNumberFormat="1" applyFont="1" applyBorder="1" applyAlignment="1"/>
    <xf numFmtId="199" fontId="111" fillId="0" borderId="0" xfId="25862" applyNumberFormat="1" applyFont="1" applyFill="1"/>
    <xf numFmtId="44" fontId="42" fillId="0" borderId="0" xfId="25862" applyFont="1" applyFill="1" applyBorder="1" applyAlignment="1"/>
    <xf numFmtId="190" fontId="168" fillId="0" borderId="0" xfId="17924" applyNumberFormat="1" applyFont="1" applyFill="1"/>
    <xf numFmtId="42" fontId="42" fillId="0" borderId="0" xfId="25862" quotePrefix="1" applyNumberFormat="1" applyFont="1" applyFill="1" applyAlignment="1">
      <alignment horizontal="center"/>
    </xf>
    <xf numFmtId="199" fontId="42" fillId="0" borderId="0" xfId="25862" applyNumberFormat="1" applyFont="1" applyFill="1" applyBorder="1" applyAlignment="1"/>
    <xf numFmtId="41" fontId="111" fillId="0" borderId="0" xfId="1773" applyNumberFormat="1" applyFont="1" applyFill="1"/>
    <xf numFmtId="43" fontId="37" fillId="0" borderId="0" xfId="9049" applyFont="1" applyFill="1" applyAlignment="1" applyProtection="1">
      <alignment horizontal="right"/>
    </xf>
    <xf numFmtId="37" fontId="37" fillId="0" borderId="0" xfId="0" quotePrefix="1" applyNumberFormat="1" applyFont="1" applyAlignment="1" applyProtection="1">
      <alignment horizontal="left"/>
      <protection locked="0"/>
    </xf>
    <xf numFmtId="166" fontId="37" fillId="0" borderId="0" xfId="0" quotePrefix="1" applyNumberFormat="1" applyFont="1" applyAlignment="1">
      <alignment horizontal="left"/>
    </xf>
    <xf numFmtId="181" fontId="44" fillId="0" borderId="0" xfId="1776" quotePrefix="1" applyNumberFormat="1" applyFont="1" applyAlignment="1">
      <alignment horizontal="left" vertical="distributed" wrapText="1"/>
    </xf>
    <xf numFmtId="181" fontId="44" fillId="0" borderId="0" xfId="1776" quotePrefix="1" applyNumberFormat="1" applyFont="1" applyAlignment="1">
      <alignment horizontal="left"/>
    </xf>
    <xf numFmtId="42" fontId="37" fillId="0" borderId="0" xfId="0" quotePrefix="1" applyNumberFormat="1" applyFont="1" applyBorder="1" applyAlignment="1"/>
    <xf numFmtId="164" fontId="154" fillId="0" borderId="0" xfId="0" applyNumberFormat="1" applyFont="1" applyBorder="1"/>
    <xf numFmtId="191" fontId="49" fillId="0" borderId="0" xfId="8" applyNumberFormat="1" applyFont="1" applyAlignment="1">
      <alignment horizontal="right" vertical="top"/>
    </xf>
    <xf numFmtId="41" fontId="49" fillId="0" borderId="0" xfId="8" applyNumberFormat="1" applyFont="1" applyFill="1" applyAlignment="1"/>
    <xf numFmtId="170" fontId="60" fillId="0" borderId="0" xfId="2" applyNumberFormat="1" applyFont="1" applyFill="1" applyBorder="1" applyAlignment="1"/>
    <xf numFmtId="170" fontId="59" fillId="0" borderId="10" xfId="2" applyNumberFormat="1" applyFont="1" applyFill="1" applyBorder="1" applyAlignment="1">
      <alignment horizontal="right"/>
    </xf>
    <xf numFmtId="170" fontId="37" fillId="0" borderId="100" xfId="0" quotePrefix="1" applyNumberFormat="1" applyFont="1" applyFill="1" applyBorder="1" applyAlignment="1" applyProtection="1">
      <alignment horizontal="right"/>
    </xf>
    <xf numFmtId="166" fontId="39" fillId="0" borderId="20" xfId="2" applyNumberFormat="1" applyFont="1" applyFill="1" applyBorder="1" applyAlignment="1" applyProtection="1"/>
    <xf numFmtId="170" fontId="44" fillId="0" borderId="40" xfId="2" applyNumberFormat="1" applyFont="1" applyFill="1" applyBorder="1" applyAlignment="1" applyProtection="1"/>
    <xf numFmtId="166" fontId="44" fillId="0" borderId="0" xfId="2" applyNumberFormat="1" applyFont="1" applyFill="1" applyAlignment="1" applyProtection="1"/>
    <xf numFmtId="166" fontId="44" fillId="0" borderId="21" xfId="2" applyNumberFormat="1" applyFont="1" applyFill="1" applyBorder="1" applyAlignment="1" applyProtection="1"/>
    <xf numFmtId="170" fontId="44" fillId="0" borderId="18" xfId="2" applyNumberFormat="1" applyFont="1" applyFill="1" applyBorder="1" applyAlignment="1" applyProtection="1"/>
    <xf numFmtId="166" fontId="44" fillId="0" borderId="0" xfId="2" applyNumberFormat="1" applyFont="1" applyFill="1" applyBorder="1" applyAlignment="1">
      <alignment horizontal="right"/>
    </xf>
    <xf numFmtId="164" fontId="44" fillId="0" borderId="16" xfId="2" applyNumberFormat="1" applyFont="1" applyFill="1" applyBorder="1" applyAlignment="1" applyProtection="1">
      <alignment horizontal="right"/>
    </xf>
    <xf numFmtId="165" fontId="44" fillId="0" borderId="0" xfId="2" applyNumberFormat="1" applyFont="1" applyFill="1" applyBorder="1" applyAlignment="1">
      <alignment horizontal="right"/>
    </xf>
    <xf numFmtId="164" fontId="44" fillId="0" borderId="10" xfId="2" applyNumberFormat="1" applyFont="1" applyFill="1" applyBorder="1" applyAlignment="1" applyProtection="1">
      <alignment horizontal="right"/>
    </xf>
    <xf numFmtId="170" fontId="42" fillId="0" borderId="0" xfId="2" applyNumberFormat="1" applyFont="1" applyFill="1" applyBorder="1" applyAlignment="1"/>
    <xf numFmtId="165" fontId="44" fillId="0" borderId="0" xfId="2" applyNumberFormat="1" applyFont="1" applyFill="1" applyAlignment="1">
      <alignment horizontal="right"/>
    </xf>
    <xf numFmtId="170" fontId="37" fillId="0" borderId="19" xfId="2" applyNumberFormat="1" applyFont="1" applyFill="1" applyBorder="1" applyAlignment="1">
      <alignment horizontal="right"/>
    </xf>
    <xf numFmtId="164" fontId="37" fillId="0" borderId="19" xfId="2" applyNumberFormat="1" applyFont="1" applyFill="1" applyBorder="1" applyAlignment="1" applyProtection="1">
      <alignment horizontal="right"/>
    </xf>
    <xf numFmtId="174" fontId="44" fillId="0" borderId="0" xfId="2" applyNumberFormat="1" applyFont="1" applyFill="1" applyBorder="1" applyAlignment="1" applyProtection="1"/>
    <xf numFmtId="170" fontId="39" fillId="0" borderId="96" xfId="2" applyNumberFormat="1" applyFont="1" applyFill="1" applyBorder="1" applyAlignment="1" applyProtection="1"/>
    <xf numFmtId="170" fontId="39" fillId="0" borderId="12" xfId="2" applyNumberFormat="1" applyFont="1" applyFill="1" applyBorder="1" applyAlignment="1" applyProtection="1"/>
    <xf numFmtId="172" fontId="44" fillId="0" borderId="66" xfId="2" applyNumberFormat="1" applyFont="1" applyFill="1" applyBorder="1" applyAlignment="1" applyProtection="1"/>
    <xf numFmtId="165" fontId="39" fillId="0" borderId="0" xfId="2" applyNumberFormat="1" applyFont="1" applyFill="1" applyBorder="1" applyAlignment="1" applyProtection="1"/>
    <xf numFmtId="165" fontId="39" fillId="0" borderId="0" xfId="2" applyNumberFormat="1" applyFont="1" applyFill="1" applyAlignment="1" applyProtection="1"/>
    <xf numFmtId="166" fontId="39" fillId="0" borderId="28" xfId="2" applyNumberFormat="1" applyFont="1" applyFill="1" applyBorder="1" applyAlignment="1" applyProtection="1"/>
    <xf numFmtId="165" fontId="39" fillId="0" borderId="15" xfId="2" applyNumberFormat="1" applyFont="1" applyFill="1" applyBorder="1" applyAlignment="1"/>
    <xf numFmtId="165" fontId="37" fillId="0" borderId="0" xfId="2" applyNumberFormat="1" applyFont="1" applyFill="1" applyBorder="1" applyAlignment="1">
      <alignment horizontal="right"/>
    </xf>
    <xf numFmtId="174" fontId="44" fillId="0" borderId="81" xfId="2" applyNumberFormat="1" applyFont="1" applyFill="1" applyBorder="1" applyAlignment="1" applyProtection="1"/>
    <xf numFmtId="172" fontId="44" fillId="0" borderId="81" xfId="2" applyNumberFormat="1" applyFont="1" applyFill="1" applyBorder="1" applyAlignment="1" applyProtection="1"/>
    <xf numFmtId="168" fontId="39" fillId="0" borderId="0" xfId="2" applyNumberFormat="1" applyFont="1" applyFill="1" applyAlignment="1" applyProtection="1"/>
    <xf numFmtId="165" fontId="42" fillId="0" borderId="0" xfId="2" applyNumberFormat="1" applyFont="1" applyFill="1" applyAlignment="1" applyProtection="1"/>
    <xf numFmtId="164" fontId="42" fillId="0" borderId="0" xfId="2" applyNumberFormat="1" applyFont="1" applyFill="1" applyAlignment="1" applyProtection="1"/>
    <xf numFmtId="170" fontId="39" fillId="0" borderId="96" xfId="2" applyNumberFormat="1" applyFont="1" applyFill="1" applyBorder="1" applyAlignment="1">
      <alignment horizontal="center"/>
    </xf>
    <xf numFmtId="170" fontId="39" fillId="0" borderId="93" xfId="2" applyNumberFormat="1" applyFont="1" applyFill="1" applyBorder="1" applyAlignment="1">
      <alignment horizontal="center"/>
    </xf>
    <xf numFmtId="166" fontId="0" fillId="0" borderId="0" xfId="2" applyNumberFormat="1" applyFont="1" applyFill="1" applyBorder="1" applyAlignment="1">
      <alignment horizontal="center"/>
    </xf>
    <xf numFmtId="0" fontId="166" fillId="0" borderId="0" xfId="2" applyFont="1" applyFill="1"/>
    <xf numFmtId="172" fontId="37" fillId="0" borderId="0" xfId="0" applyNumberFormat="1" applyFont="1" applyFill="1"/>
    <xf numFmtId="172" fontId="39" fillId="0" borderId="0" xfId="0" applyNumberFormat="1" applyFont="1" applyFill="1" applyBorder="1" applyAlignment="1" applyProtection="1"/>
    <xf numFmtId="43" fontId="0" fillId="0" borderId="0" xfId="2" applyNumberFormat="1" applyFont="1" applyFill="1"/>
    <xf numFmtId="166" fontId="44" fillId="0" borderId="0" xfId="2" applyNumberFormat="1" applyFont="1" applyFill="1" applyBorder="1"/>
    <xf numFmtId="164" fontId="44" fillId="0" borderId="16" xfId="0" applyNumberFormat="1" applyFont="1" applyFill="1" applyBorder="1" applyAlignment="1" applyProtection="1"/>
    <xf numFmtId="0" fontId="44" fillId="0" borderId="0" xfId="2" applyFont="1" applyFill="1"/>
    <xf numFmtId="164" fontId="44" fillId="0" borderId="0" xfId="2" applyNumberFormat="1" applyFont="1" applyFill="1" applyBorder="1"/>
    <xf numFmtId="166" fontId="39" fillId="0" borderId="20" xfId="2" applyNumberFormat="1" applyFont="1" applyFill="1" applyBorder="1" applyAlignment="1"/>
    <xf numFmtId="164" fontId="44" fillId="0" borderId="66" xfId="0" applyNumberFormat="1" applyFont="1" applyFill="1" applyBorder="1" applyAlignment="1" applyProtection="1">
      <protection locked="0"/>
    </xf>
    <xf numFmtId="0" fontId="44" fillId="0" borderId="0" xfId="2" applyFont="1" applyFill="1" applyBorder="1"/>
    <xf numFmtId="164" fontId="44" fillId="0" borderId="16" xfId="0" applyNumberFormat="1" applyFont="1" applyFill="1" applyBorder="1" applyAlignment="1" applyProtection="1">
      <protection locked="0"/>
    </xf>
    <xf numFmtId="170" fontId="62" fillId="0" borderId="0" xfId="2" quotePrefix="1" applyNumberFormat="1" applyFont="1" applyFill="1" applyBorder="1" applyAlignment="1"/>
    <xf numFmtId="170" fontId="67" fillId="0" borderId="0" xfId="2" quotePrefix="1" applyNumberFormat="1" applyFont="1" applyFill="1" applyAlignment="1">
      <alignment horizontal="center"/>
    </xf>
    <xf numFmtId="170" fontId="62" fillId="0" borderId="20" xfId="2" applyNumberFormat="1" applyFont="1" applyFill="1" applyBorder="1" applyAlignment="1"/>
    <xf numFmtId="170" fontId="67" fillId="0" borderId="0" xfId="2" quotePrefix="1" applyNumberFormat="1" applyFont="1" applyFill="1" applyBorder="1" applyAlignment="1">
      <alignment horizontal="right"/>
    </xf>
    <xf numFmtId="170" fontId="67" fillId="0" borderId="0" xfId="2" applyNumberFormat="1" applyFont="1" applyFill="1" applyAlignment="1"/>
    <xf numFmtId="170" fontId="67" fillId="0" borderId="21" xfId="2" applyNumberFormat="1" applyFont="1" applyFill="1" applyBorder="1" applyAlignment="1"/>
    <xf numFmtId="170" fontId="67" fillId="0" borderId="13" xfId="2" applyNumberFormat="1" applyFont="1" applyFill="1" applyBorder="1" applyAlignment="1"/>
    <xf numFmtId="170" fontId="67" fillId="0" borderId="0" xfId="2" applyNumberFormat="1" applyFont="1" applyFill="1" applyBorder="1" applyAlignment="1"/>
    <xf numFmtId="170" fontId="67" fillId="0" borderId="0" xfId="2" quotePrefix="1" applyNumberFormat="1" applyFont="1" applyFill="1" applyBorder="1" applyAlignment="1">
      <alignment horizontal="center"/>
    </xf>
    <xf numFmtId="170" fontId="67" fillId="0" borderId="0" xfId="2" applyNumberFormat="1" applyFont="1" applyFill="1" applyAlignment="1">
      <alignment horizontal="right"/>
    </xf>
    <xf numFmtId="166" fontId="170" fillId="0" borderId="15" xfId="2" applyNumberFormat="1" applyFont="1" applyFill="1" applyBorder="1" applyAlignment="1"/>
    <xf numFmtId="174" fontId="67" fillId="0" borderId="0" xfId="2" applyNumberFormat="1" applyFont="1" applyFill="1" applyBorder="1" applyAlignment="1"/>
    <xf numFmtId="169" fontId="171" fillId="0" borderId="15" xfId="2" applyNumberFormat="1" applyFont="1" applyFill="1" applyBorder="1" applyAlignment="1"/>
    <xf numFmtId="166" fontId="62" fillId="0" borderId="0" xfId="2" applyNumberFormat="1" applyFont="1" applyFill="1" applyBorder="1" applyAlignment="1"/>
    <xf numFmtId="170" fontId="62" fillId="0" borderId="20" xfId="2" applyNumberFormat="1" applyFont="1" applyFill="1" applyBorder="1" applyAlignment="1">
      <alignment horizontal="center"/>
    </xf>
    <xf numFmtId="0" fontId="95" fillId="0" borderId="0" xfId="2" applyNumberFormat="1" applyFont="1" applyFill="1" applyAlignment="1"/>
    <xf numFmtId="177" fontId="44" fillId="0" borderId="0" xfId="740" applyNumberFormat="1" applyFont="1" applyFill="1" applyBorder="1" applyAlignment="1">
      <alignment horizontal="center"/>
    </xf>
    <xf numFmtId="177" fontId="44" fillId="0" borderId="66" xfId="740" quotePrefix="1" applyNumberFormat="1" applyFont="1" applyFill="1" applyBorder="1" applyAlignment="1">
      <alignment horizontal="center"/>
    </xf>
    <xf numFmtId="177" fontId="44" fillId="0" borderId="43" xfId="740" applyNumberFormat="1" applyFont="1" applyFill="1" applyBorder="1" applyAlignment="1">
      <alignment horizontal="center"/>
    </xf>
    <xf numFmtId="177" fontId="44" fillId="0" borderId="10" xfId="740" applyNumberFormat="1" applyFont="1" applyFill="1" applyBorder="1" applyAlignment="1">
      <alignment horizontal="center"/>
    </xf>
    <xf numFmtId="177" fontId="44" fillId="0" borderId="0" xfId="740" quotePrefix="1" applyNumberFormat="1" applyFont="1" applyFill="1" applyBorder="1" applyAlignment="1">
      <alignment horizontal="center"/>
    </xf>
    <xf numFmtId="177" fontId="44" fillId="0" borderId="10" xfId="740" applyNumberFormat="1" applyFont="1" applyFill="1" applyBorder="1" applyAlignment="1"/>
    <xf numFmtId="0" fontId="98" fillId="0" borderId="0" xfId="740" applyFont="1" applyFill="1" applyBorder="1"/>
    <xf numFmtId="0" fontId="79" fillId="0" borderId="0" xfId="836" applyNumberFormat="1" applyFont="1" applyFill="1" applyAlignment="1"/>
    <xf numFmtId="0" fontId="53" fillId="0" borderId="0" xfId="836" applyNumberFormat="1" applyFont="1" applyFill="1" applyAlignment="1"/>
    <xf numFmtId="0" fontId="62" fillId="0" borderId="20" xfId="836" applyNumberFormat="1" applyFont="1" applyFill="1" applyBorder="1" applyAlignment="1"/>
    <xf numFmtId="185" fontId="62" fillId="0" borderId="20" xfId="836" applyNumberFormat="1" applyFont="1" applyFill="1" applyBorder="1" applyAlignment="1"/>
    <xf numFmtId="185" fontId="62" fillId="0" borderId="0" xfId="836" applyNumberFormat="1" applyFont="1" applyFill="1" applyAlignment="1"/>
    <xf numFmtId="180" fontId="67" fillId="0" borderId="17" xfId="836" applyNumberFormat="1" applyFont="1" applyFill="1" applyBorder="1" applyAlignment="1">
      <alignment horizontal="right"/>
    </xf>
    <xf numFmtId="185" fontId="62" fillId="0" borderId="36" xfId="836" applyNumberFormat="1" applyFont="1" applyFill="1" applyBorder="1" applyAlignment="1"/>
    <xf numFmtId="39" fontId="79" fillId="0" borderId="0" xfId="836" applyNumberFormat="1" applyFont="1" applyFill="1" applyAlignment="1"/>
    <xf numFmtId="173" fontId="79" fillId="0" borderId="0" xfId="836" applyNumberFormat="1" applyFont="1" applyFill="1" applyAlignment="1"/>
    <xf numFmtId="165" fontId="79" fillId="0" borderId="0" xfId="836" applyNumberFormat="1" applyFont="1" applyFill="1" applyAlignment="1"/>
    <xf numFmtId="166" fontId="39" fillId="0" borderId="0" xfId="0" applyNumberFormat="1" applyFont="1" applyFill="1" applyBorder="1" applyAlignment="1" applyProtection="1"/>
    <xf numFmtId="170" fontId="39" fillId="0" borderId="0" xfId="0" quotePrefix="1" applyNumberFormat="1" applyFont="1" applyFill="1" applyBorder="1" applyAlignment="1" applyProtection="1">
      <alignment horizontal="center"/>
    </xf>
    <xf numFmtId="0" fontId="44" fillId="0" borderId="0" xfId="0" quotePrefix="1" applyNumberFormat="1" applyFont="1" applyAlignment="1" applyProtection="1">
      <alignment horizontal="center"/>
    </xf>
    <xf numFmtId="165" fontId="44" fillId="0" borderId="0" xfId="0" applyNumberFormat="1" applyFont="1" applyAlignment="1" applyProtection="1">
      <alignment horizontal="center"/>
    </xf>
    <xf numFmtId="165" fontId="64" fillId="0" borderId="0" xfId="0" quotePrefix="1" applyNumberFormat="1" applyFont="1" applyBorder="1" applyAlignment="1" applyProtection="1">
      <alignment horizontal="center"/>
    </xf>
    <xf numFmtId="165" fontId="37" fillId="0" borderId="82" xfId="0" applyNumberFormat="1" applyFont="1" applyBorder="1" applyAlignment="1" applyProtection="1"/>
    <xf numFmtId="165" fontId="37" fillId="0" borderId="0" xfId="0" applyNumberFormat="1" applyFont="1" applyBorder="1" applyAlignment="1" applyProtection="1"/>
    <xf numFmtId="165" fontId="37" fillId="34" borderId="0" xfId="0" applyNumberFormat="1" applyFont="1" applyFill="1" applyAlignment="1" applyProtection="1"/>
    <xf numFmtId="165" fontId="66" fillId="0" borderId="0" xfId="0" applyNumberFormat="1" applyFont="1" applyBorder="1" applyAlignment="1" applyProtection="1"/>
    <xf numFmtId="165" fontId="64" fillId="0" borderId="0" xfId="0" applyNumberFormat="1" applyFont="1" applyAlignment="1" applyProtection="1"/>
    <xf numFmtId="165" fontId="37" fillId="0" borderId="0" xfId="0" applyNumberFormat="1" applyFont="1" applyAlignment="1" applyProtection="1"/>
    <xf numFmtId="174" fontId="37" fillId="0" borderId="0" xfId="0" quotePrefix="1" applyNumberFormat="1" applyFont="1" applyFill="1" applyAlignment="1" applyProtection="1">
      <alignment horizontal="right"/>
    </xf>
    <xf numFmtId="174" fontId="37" fillId="0" borderId="0" xfId="0" applyNumberFormat="1" applyFont="1" applyFill="1" applyBorder="1" applyAlignment="1" applyProtection="1"/>
    <xf numFmtId="174" fontId="37" fillId="0" borderId="0" xfId="0" quotePrefix="1" applyNumberFormat="1" applyFont="1" applyFill="1" applyBorder="1" applyAlignment="1" applyProtection="1">
      <alignment horizontal="left"/>
    </xf>
    <xf numFmtId="166" fontId="37" fillId="0" borderId="0" xfId="0" applyNumberFormat="1" applyFont="1" applyFill="1" applyBorder="1" applyAlignment="1" applyProtection="1"/>
    <xf numFmtId="170" fontId="37" fillId="0" borderId="0" xfId="0" quotePrefix="1" applyNumberFormat="1" applyFont="1" applyFill="1" applyBorder="1" applyAlignment="1" applyProtection="1">
      <alignment horizontal="left"/>
    </xf>
    <xf numFmtId="166" fontId="37" fillId="0" borderId="0" xfId="0" quotePrefix="1" applyNumberFormat="1" applyFont="1" applyFill="1" applyBorder="1" applyAlignment="1" applyProtection="1">
      <alignment horizontal="center"/>
    </xf>
    <xf numFmtId="170" fontId="44" fillId="0" borderId="95" xfId="0" quotePrefix="1" applyNumberFormat="1" applyFont="1" applyFill="1" applyBorder="1" applyAlignment="1" applyProtection="1"/>
    <xf numFmtId="170" fontId="44" fillId="0" borderId="0" xfId="0" quotePrefix="1" applyNumberFormat="1" applyFont="1" applyFill="1" applyBorder="1" applyAlignment="1" applyProtection="1"/>
    <xf numFmtId="170" fontId="44" fillId="0" borderId="0" xfId="0" quotePrefix="1" applyNumberFormat="1" applyFont="1" applyFill="1" applyBorder="1" applyAlignment="1" applyProtection="1">
      <alignment horizontal="left"/>
    </xf>
    <xf numFmtId="166" fontId="44" fillId="0" borderId="0" xfId="0" quotePrefix="1" applyNumberFormat="1" applyFont="1" applyFill="1" applyBorder="1" applyAlignment="1" applyProtection="1">
      <alignment horizontal="center"/>
    </xf>
    <xf numFmtId="164" fontId="65" fillId="0" borderId="0" xfId="0" applyNumberFormat="1" applyFont="1" applyFill="1" applyAlignment="1" applyProtection="1"/>
    <xf numFmtId="166" fontId="64" fillId="0" borderId="0" xfId="0" applyNumberFormat="1" applyFont="1" applyFill="1" applyAlignment="1" applyProtection="1"/>
    <xf numFmtId="170" fontId="44" fillId="0" borderId="98" xfId="0" quotePrefix="1" applyNumberFormat="1" applyFont="1" applyFill="1" applyBorder="1" applyAlignment="1" applyProtection="1"/>
    <xf numFmtId="170" fontId="44" fillId="0" borderId="82" xfId="0" quotePrefix="1" applyNumberFormat="1" applyFont="1" applyFill="1" applyBorder="1" applyAlignment="1" applyProtection="1"/>
    <xf numFmtId="164" fontId="66" fillId="0" borderId="0" xfId="0" applyNumberFormat="1" applyFont="1" applyAlignment="1" applyProtection="1"/>
    <xf numFmtId="166" fontId="64" fillId="0" borderId="0" xfId="0" applyNumberFormat="1" applyFont="1" applyAlignment="1" applyProtection="1"/>
    <xf numFmtId="166" fontId="37" fillId="0" borderId="0" xfId="0" applyNumberFormat="1" applyFont="1" applyAlignment="1" applyProtection="1"/>
    <xf numFmtId="166" fontId="37" fillId="0" borderId="0" xfId="0" quotePrefix="1" applyNumberFormat="1" applyFont="1" applyFill="1" applyBorder="1" applyAlignment="1" applyProtection="1"/>
    <xf numFmtId="170" fontId="37" fillId="0" borderId="0" xfId="0" quotePrefix="1" applyNumberFormat="1" applyFont="1" applyBorder="1" applyAlignment="1" applyProtection="1">
      <alignment horizontal="right"/>
    </xf>
    <xf numFmtId="170" fontId="37" fillId="34" borderId="0" xfId="0" applyNumberFormat="1" applyFont="1" applyFill="1" applyAlignment="1" applyProtection="1"/>
    <xf numFmtId="170" fontId="37" fillId="0" borderId="0" xfId="0" quotePrefix="1" applyNumberFormat="1" applyFont="1" applyBorder="1" applyAlignment="1" applyProtection="1">
      <alignment horizontal="left"/>
    </xf>
    <xf numFmtId="166" fontId="37" fillId="0" borderId="0" xfId="0" quotePrefix="1" applyNumberFormat="1" applyFont="1" applyBorder="1" applyAlignment="1" applyProtection="1">
      <alignment horizontal="center"/>
    </xf>
    <xf numFmtId="166" fontId="37" fillId="0" borderId="0" xfId="0" quotePrefix="1" applyNumberFormat="1" applyFont="1" applyBorder="1" applyAlignment="1" applyProtection="1"/>
    <xf numFmtId="170" fontId="44" fillId="0" borderId="0" xfId="0" applyNumberFormat="1" applyFont="1" applyBorder="1" applyAlignment="1" applyProtection="1"/>
    <xf numFmtId="170" fontId="44" fillId="34" borderId="0" xfId="0" applyNumberFormat="1" applyFont="1" applyFill="1" applyAlignment="1" applyProtection="1"/>
    <xf numFmtId="166" fontId="44" fillId="0" borderId="0" xfId="0" applyNumberFormat="1" applyFont="1" applyBorder="1" applyAlignment="1" applyProtection="1"/>
    <xf numFmtId="164" fontId="65" fillId="0" borderId="0" xfId="0" applyNumberFormat="1" applyFont="1" applyAlignment="1" applyProtection="1"/>
    <xf numFmtId="166" fontId="37" fillId="0" borderId="0" xfId="0" quotePrefix="1" applyNumberFormat="1" applyFont="1" applyBorder="1" applyAlignment="1" applyProtection="1">
      <alignment horizontal="right"/>
    </xf>
    <xf numFmtId="170" fontId="44" fillId="0" borderId="0" xfId="0" quotePrefix="1" applyNumberFormat="1" applyFont="1" applyBorder="1" applyAlignment="1" applyProtection="1"/>
    <xf numFmtId="170" fontId="44" fillId="0" borderId="0" xfId="0" quotePrefix="1" applyNumberFormat="1" applyFont="1" applyBorder="1" applyAlignment="1" applyProtection="1">
      <alignment horizontal="left"/>
    </xf>
    <xf numFmtId="165" fontId="44" fillId="0" borderId="0" xfId="0" applyNumberFormat="1" applyFont="1" applyAlignment="1" applyProtection="1"/>
    <xf numFmtId="165" fontId="44" fillId="34" borderId="0" xfId="0" applyNumberFormat="1" applyFont="1" applyFill="1" applyAlignment="1" applyProtection="1"/>
    <xf numFmtId="165" fontId="65" fillId="0" borderId="0" xfId="0" applyNumberFormat="1" applyFont="1" applyAlignment="1" applyProtection="1"/>
    <xf numFmtId="174" fontId="44" fillId="0" borderId="41" xfId="0" applyNumberFormat="1" applyFont="1" applyBorder="1" applyAlignment="1" applyProtection="1"/>
    <xf numFmtId="174" fontId="44" fillId="0" borderId="0" xfId="0" applyNumberFormat="1" applyFont="1" applyBorder="1" applyAlignment="1" applyProtection="1"/>
    <xf numFmtId="174" fontId="44" fillId="34" borderId="0" xfId="0" applyNumberFormat="1" applyFont="1" applyFill="1" applyAlignment="1" applyProtection="1"/>
    <xf numFmtId="165" fontId="66" fillId="0" borderId="0" xfId="0" applyNumberFormat="1" applyFont="1" applyAlignment="1" applyProtection="1"/>
    <xf numFmtId="165" fontId="44" fillId="0" borderId="82" xfId="0" quotePrefix="1" applyNumberFormat="1" applyFont="1" applyBorder="1" applyAlignment="1" applyProtection="1">
      <alignment horizontal="center"/>
    </xf>
    <xf numFmtId="172" fontId="0" fillId="0" borderId="0" xfId="0" applyNumberFormat="1" applyProtection="1"/>
    <xf numFmtId="164" fontId="44" fillId="0" borderId="0" xfId="2" applyNumberFormat="1" applyFont="1" applyBorder="1" applyAlignment="1" applyProtection="1"/>
    <xf numFmtId="172" fontId="37" fillId="0" borderId="10" xfId="2" applyNumberFormat="1" applyFont="1" applyFill="1" applyBorder="1" applyAlignment="1" applyProtection="1"/>
    <xf numFmtId="164" fontId="44" fillId="0" borderId="0" xfId="2" applyNumberFormat="1" applyFont="1" applyAlignment="1" applyProtection="1"/>
    <xf numFmtId="172" fontId="37" fillId="0" borderId="66" xfId="0" applyNumberFormat="1" applyFont="1" applyBorder="1" applyAlignment="1" applyProtection="1"/>
    <xf numFmtId="164" fontId="44" fillId="0" borderId="45" xfId="2" quotePrefix="1" applyNumberFormat="1" applyFont="1" applyBorder="1" applyAlignment="1" applyProtection="1"/>
    <xf numFmtId="164" fontId="44" fillId="0" borderId="10" xfId="2" quotePrefix="1" applyNumberFormat="1" applyFont="1" applyBorder="1" applyAlignment="1" applyProtection="1">
      <alignment horizontal="right"/>
    </xf>
    <xf numFmtId="172" fontId="44" fillId="0" borderId="10" xfId="2" applyNumberFormat="1" applyFont="1" applyFill="1" applyBorder="1" applyAlignment="1" applyProtection="1"/>
    <xf numFmtId="164" fontId="37" fillId="0" borderId="20" xfId="2" applyNumberFormat="1" applyFont="1" applyBorder="1" applyAlignment="1" applyProtection="1"/>
    <xf numFmtId="164" fontId="44" fillId="0" borderId="17" xfId="2" applyNumberFormat="1" applyFont="1" applyBorder="1" applyAlignment="1" applyProtection="1"/>
    <xf numFmtId="164" fontId="44" fillId="0" borderId="16" xfId="2" applyNumberFormat="1" applyFont="1" applyFill="1" applyBorder="1" applyAlignment="1" applyProtection="1"/>
    <xf numFmtId="170" fontId="44" fillId="0" borderId="66" xfId="1046" applyNumberFormat="1" applyFont="1" applyFill="1" applyBorder="1" applyProtection="1"/>
    <xf numFmtId="170" fontId="37" fillId="0" borderId="46" xfId="5517" applyNumberFormat="1" applyFont="1" applyFill="1" applyBorder="1" applyProtection="1"/>
    <xf numFmtId="170" fontId="44" fillId="0" borderId="66" xfId="5517" applyNumberFormat="1" applyFont="1" applyFill="1" applyBorder="1" applyProtection="1"/>
    <xf numFmtId="170" fontId="37" fillId="0" borderId="0" xfId="5517" applyNumberFormat="1" applyFont="1" applyFill="1" applyBorder="1" applyProtection="1"/>
    <xf numFmtId="170" fontId="39" fillId="0" borderId="46" xfId="4" applyNumberFormat="1" applyFont="1" applyFill="1" applyBorder="1" applyProtection="1"/>
    <xf numFmtId="170" fontId="44" fillId="0" borderId="10" xfId="4" applyNumberFormat="1" applyFont="1" applyFill="1" applyBorder="1" applyProtection="1"/>
    <xf numFmtId="174" fontId="44" fillId="0" borderId="17" xfId="4" applyNumberFormat="1" applyFont="1" applyFill="1" applyBorder="1" applyProtection="1"/>
    <xf numFmtId="164" fontId="44" fillId="0" borderId="0" xfId="0" applyNumberFormat="1" applyFont="1" applyFill="1" applyBorder="1" applyAlignment="1" applyProtection="1"/>
    <xf numFmtId="42" fontId="37" fillId="0" borderId="0" xfId="739" applyNumberFormat="1" applyFont="1" applyBorder="1" applyAlignment="1" applyProtection="1"/>
    <xf numFmtId="41" fontId="44" fillId="0" borderId="107" xfId="739" applyNumberFormat="1" applyFont="1" applyBorder="1" applyAlignment="1" applyProtection="1"/>
    <xf numFmtId="42" fontId="97" fillId="0" borderId="81" xfId="739" applyNumberFormat="1" applyFont="1" applyBorder="1" applyAlignment="1" applyProtection="1"/>
    <xf numFmtId="44" fontId="37" fillId="0" borderId="0" xfId="1767" applyNumberFormat="1" applyFont="1" applyFill="1" applyAlignment="1" applyProtection="1">
      <alignment horizontal="right"/>
    </xf>
    <xf numFmtId="164" fontId="44" fillId="0" borderId="0" xfId="0" applyFont="1" applyAlignment="1" applyProtection="1">
      <alignment horizontal="right"/>
    </xf>
    <xf numFmtId="166" fontId="38" fillId="0" borderId="0" xfId="0" applyNumberFormat="1" applyFont="1" applyBorder="1" applyAlignment="1" applyProtection="1">
      <alignment horizontal="left"/>
      <protection locked="0"/>
    </xf>
    <xf numFmtId="164" fontId="39" fillId="0" borderId="0" xfId="0" applyFont="1" applyBorder="1" applyAlignment="1" applyProtection="1">
      <alignment horizontal="left"/>
      <protection locked="0"/>
    </xf>
    <xf numFmtId="164" fontId="41" fillId="0" borderId="0" xfId="0" applyFont="1" applyBorder="1" applyAlignment="1" applyProtection="1">
      <alignment horizontal="left"/>
      <protection locked="0"/>
    </xf>
    <xf numFmtId="166" fontId="44" fillId="0" borderId="10" xfId="0" applyNumberFormat="1" applyFont="1" applyBorder="1" applyAlignment="1" applyProtection="1">
      <alignment horizontal="left"/>
      <protection locked="0"/>
    </xf>
    <xf numFmtId="164" fontId="37" fillId="0" borderId="10" xfId="0" applyFont="1" applyBorder="1" applyAlignment="1" applyProtection="1">
      <alignment horizontal="left"/>
      <protection locked="0"/>
    </xf>
    <xf numFmtId="166" fontId="44" fillId="0" borderId="0" xfId="0" applyNumberFormat="1" applyFont="1" applyFill="1" applyBorder="1" applyAlignment="1">
      <alignment horizontal="center"/>
    </xf>
    <xf numFmtId="166" fontId="44" fillId="0" borderId="0" xfId="0" applyNumberFormat="1" applyFont="1" applyBorder="1" applyAlignment="1">
      <alignment horizontal="center"/>
    </xf>
    <xf numFmtId="164" fontId="39" fillId="0" borderId="0" xfId="0" applyFont="1" applyBorder="1" applyAlignment="1">
      <alignment horizontal="center"/>
    </xf>
    <xf numFmtId="166" fontId="44" fillId="0" borderId="10" xfId="0" applyNumberFormat="1" applyFont="1" applyBorder="1" applyAlignment="1">
      <alignment horizontal="center"/>
    </xf>
    <xf numFmtId="39" fontId="38" fillId="0" borderId="0" xfId="0" applyNumberFormat="1" applyFont="1" applyFill="1" applyBorder="1" applyAlignment="1">
      <alignment horizontal="left"/>
    </xf>
    <xf numFmtId="164" fontId="41" fillId="0" borderId="0" xfId="0" applyFont="1" applyFill="1" applyBorder="1" applyAlignment="1">
      <alignment horizontal="left"/>
    </xf>
    <xf numFmtId="166" fontId="38" fillId="0" borderId="0" xfId="0" applyNumberFormat="1" applyFont="1" applyFill="1" applyBorder="1" applyAlignment="1">
      <alignment horizontal="left"/>
    </xf>
    <xf numFmtId="0" fontId="44" fillId="0" borderId="0" xfId="2" applyNumberFormat="1" applyFont="1" applyFill="1" applyAlignment="1">
      <alignment horizontal="right"/>
    </xf>
    <xf numFmtId="0" fontId="44" fillId="0" borderId="0" xfId="2" applyNumberFormat="1" applyFont="1" applyAlignment="1">
      <alignment horizontal="left"/>
    </xf>
    <xf numFmtId="0" fontId="44" fillId="0" borderId="66" xfId="2" applyNumberFormat="1" applyFont="1" applyBorder="1" applyAlignment="1">
      <alignment horizontal="center"/>
    </xf>
    <xf numFmtId="0" fontId="67"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6" xfId="2" applyFont="1" applyFill="1" applyBorder="1" applyAlignment="1">
      <alignment horizontal="center"/>
    </xf>
    <xf numFmtId="0" fontId="67" fillId="0" borderId="0" xfId="2" applyNumberFormat="1" applyFont="1" applyFill="1" applyAlignment="1" applyProtection="1">
      <alignment vertical="justify"/>
    </xf>
    <xf numFmtId="0" fontId="0" fillId="0" borderId="0" xfId="2" applyFont="1" applyFill="1" applyBorder="1" applyAlignment="1" applyProtection="1"/>
    <xf numFmtId="0" fontId="44" fillId="0" borderId="66" xfId="2" applyFont="1" applyFill="1" applyBorder="1" applyAlignment="1">
      <alignment horizontal="center"/>
    </xf>
    <xf numFmtId="166" fontId="75" fillId="35" borderId="0" xfId="2" applyNumberFormat="1" applyFont="1" applyFill="1" applyAlignment="1">
      <alignment horizontal="right"/>
    </xf>
    <xf numFmtId="0" fontId="39" fillId="35" borderId="0" xfId="2" applyFont="1" applyFill="1" applyBorder="1" applyAlignment="1"/>
    <xf numFmtId="0" fontId="44" fillId="0" borderId="10" xfId="2" quotePrefix="1" applyNumberFormat="1" applyFont="1" applyBorder="1" applyAlignment="1" applyProtection="1">
      <alignment horizontal="center"/>
      <protection locked="0"/>
    </xf>
    <xf numFmtId="0" fontId="44" fillId="0" borderId="10" xfId="2" applyNumberFormat="1" applyFont="1" applyBorder="1" applyAlignment="1" applyProtection="1">
      <alignment horizontal="center"/>
      <protection locked="0"/>
    </xf>
    <xf numFmtId="0" fontId="37" fillId="35" borderId="0" xfId="2" applyFont="1" applyFill="1" applyBorder="1" applyAlignment="1"/>
    <xf numFmtId="166" fontId="44" fillId="0" borderId="66" xfId="2" applyNumberFormat="1" applyFont="1" applyBorder="1" applyAlignment="1" applyProtection="1">
      <alignment horizontal="center"/>
    </xf>
    <xf numFmtId="0" fontId="44" fillId="0" borderId="10" xfId="2" quotePrefix="1" applyNumberFormat="1" applyFont="1" applyBorder="1" applyAlignment="1">
      <alignment horizontal="center"/>
    </xf>
    <xf numFmtId="0" fontId="43" fillId="0" borderId="0" xfId="4" quotePrefix="1" applyFont="1" applyFill="1" applyAlignment="1">
      <alignment horizontal="right"/>
    </xf>
    <xf numFmtId="0" fontId="86" fillId="0" borderId="0" xfId="4" applyFill="1" applyAlignment="1"/>
    <xf numFmtId="0" fontId="44" fillId="0" borderId="10" xfId="4" quotePrefix="1" applyFont="1" applyFill="1" applyBorder="1" applyAlignment="1">
      <alignment horizontal="center"/>
    </xf>
    <xf numFmtId="0" fontId="0" fillId="0" borderId="10" xfId="2" applyFont="1" applyBorder="1" applyAlignment="1"/>
    <xf numFmtId="166" fontId="67" fillId="0" borderId="66" xfId="2" quotePrefix="1" applyNumberFormat="1" applyFont="1" applyBorder="1" applyAlignment="1" applyProtection="1">
      <alignment horizontal="center"/>
      <protection locked="0"/>
    </xf>
    <xf numFmtId="166" fontId="67" fillId="0" borderId="66" xfId="2" applyNumberFormat="1" applyFont="1" applyBorder="1" applyAlignment="1" applyProtection="1">
      <alignment horizontal="center"/>
      <protection locked="0"/>
    </xf>
    <xf numFmtId="165" fontId="67" fillId="0" borderId="66" xfId="2" quotePrefix="1" applyNumberFormat="1" applyFont="1" applyBorder="1" applyAlignment="1" applyProtection="1">
      <alignment horizontal="center"/>
      <protection locked="0"/>
    </xf>
    <xf numFmtId="165" fontId="67" fillId="0" borderId="66" xfId="2" applyNumberFormat="1" applyFont="1" applyBorder="1" applyAlignment="1" applyProtection="1">
      <alignment horizontal="center"/>
      <protection locked="0"/>
    </xf>
    <xf numFmtId="0" fontId="67" fillId="0" borderId="0" xfId="2" quotePrefix="1" applyNumberFormat="1" applyFont="1" applyBorder="1" applyAlignment="1">
      <alignment horizontal="center"/>
    </xf>
    <xf numFmtId="0" fontId="62" fillId="0" borderId="0" xfId="2" applyFont="1" applyBorder="1" applyAlignment="1">
      <alignment horizontal="center"/>
    </xf>
    <xf numFmtId="0" fontId="67" fillId="0" borderId="66" xfId="2" quotePrefix="1" applyNumberFormat="1" applyFont="1" applyBorder="1" applyAlignment="1">
      <alignment horizontal="center"/>
    </xf>
    <xf numFmtId="0" fontId="170" fillId="0" borderId="0" xfId="2" quotePrefix="1" applyNumberFormat="1" applyFont="1" applyBorder="1" applyAlignment="1">
      <alignment horizontal="center"/>
    </xf>
    <xf numFmtId="0" fontId="171" fillId="0" borderId="0" xfId="2" applyFont="1" applyBorder="1" applyAlignment="1">
      <alignment horizontal="center"/>
    </xf>
    <xf numFmtId="0" fontId="170" fillId="0" borderId="66" xfId="2" quotePrefix="1" applyNumberFormat="1" applyFont="1" applyBorder="1" applyAlignment="1">
      <alignment horizontal="center"/>
    </xf>
    <xf numFmtId="181" fontId="83" fillId="0" borderId="0" xfId="1776" quotePrefix="1" applyNumberFormat="1" applyFont="1" applyAlignment="1">
      <alignment horizontal="justify" vertical="top"/>
    </xf>
    <xf numFmtId="181" fontId="83" fillId="0" borderId="0" xfId="1776" quotePrefix="1" applyNumberFormat="1" applyFont="1" applyAlignment="1">
      <alignment horizontal="justify" vertical="top" wrapText="1"/>
    </xf>
    <xf numFmtId="181" fontId="44" fillId="0" borderId="0" xfId="1776" quotePrefix="1" applyNumberFormat="1" applyFont="1" applyAlignment="1">
      <alignment horizontal="left" vertical="distributed" wrapText="1"/>
    </xf>
    <xf numFmtId="181" fontId="42" fillId="0" borderId="0" xfId="1776" applyNumberFormat="1" applyFont="1" applyBorder="1" applyAlignment="1">
      <alignment horizontal="left" vertical="top" wrapText="1"/>
    </xf>
    <xf numFmtId="0" fontId="37" fillId="0" borderId="0" xfId="17" applyNumberFormat="1" applyFont="1" applyAlignment="1">
      <alignment horizontal="left" wrapText="1"/>
    </xf>
    <xf numFmtId="0" fontId="41" fillId="0" borderId="51" xfId="739" applyFont="1" applyBorder="1" applyAlignment="1">
      <alignment horizontal="justify" wrapText="1"/>
    </xf>
    <xf numFmtId="0" fontId="41" fillId="0" borderId="52" xfId="739" applyFont="1" applyBorder="1" applyAlignment="1">
      <alignment horizontal="justify" wrapText="1"/>
    </xf>
    <xf numFmtId="0" fontId="41" fillId="0" borderId="53" xfId="739" applyFont="1" applyBorder="1" applyAlignment="1">
      <alignment horizontal="justify" wrapText="1"/>
    </xf>
    <xf numFmtId="0" fontId="41" fillId="0" borderId="54" xfId="739" applyFont="1" applyBorder="1" applyAlignment="1">
      <alignment horizontal="justify" wrapText="1"/>
    </xf>
    <xf numFmtId="0" fontId="41" fillId="0" borderId="0" xfId="739" applyFont="1" applyBorder="1" applyAlignment="1">
      <alignment horizontal="justify" wrapText="1"/>
    </xf>
    <xf numFmtId="0" fontId="41" fillId="0" borderId="44" xfId="739" applyFont="1" applyBorder="1" applyAlignment="1">
      <alignment horizontal="justify" wrapText="1"/>
    </xf>
    <xf numFmtId="0" fontId="41" fillId="0" borderId="55" xfId="739" applyFont="1" applyBorder="1" applyAlignment="1">
      <alignment horizontal="justify" wrapText="1"/>
    </xf>
    <xf numFmtId="0" fontId="41" fillId="0" borderId="50" xfId="739" applyFont="1" applyBorder="1" applyAlignment="1">
      <alignment horizontal="justify" wrapText="1"/>
    </xf>
    <xf numFmtId="0" fontId="41" fillId="0" borderId="56" xfId="739" applyFont="1" applyBorder="1" applyAlignment="1">
      <alignment horizontal="justify" wrapText="1"/>
    </xf>
  </cellXfs>
  <cellStyles count="25863">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xfId="25862" builtinId="4"/>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FFFFCC"/>
      <color rgb="FF1362D7"/>
      <color rgb="FF0000FF"/>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143</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141</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42</xdr:row>
      <xdr:rowOff>0</xdr:rowOff>
    </xdr:from>
    <xdr:to>
      <xdr:col>5</xdr:col>
      <xdr:colOff>1276350</xdr:colOff>
      <xdr:row>42</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twoCellAnchor>
    <xdr:from>
      <xdr:col>5</xdr:col>
      <xdr:colOff>1238250</xdr:colOff>
      <xdr:row>42</xdr:row>
      <xdr:rowOff>0</xdr:rowOff>
    </xdr:from>
    <xdr:to>
      <xdr:col>5</xdr:col>
      <xdr:colOff>1276350</xdr:colOff>
      <xdr:row>42</xdr:row>
      <xdr:rowOff>0</xdr:rowOff>
    </xdr:to>
    <xdr:sp macro="" textlink="">
      <xdr:nvSpPr>
        <xdr:cNvPr id="3" name="Line 1"/>
        <xdr:cNvSpPr>
          <a:spLocks noChangeShapeType="1"/>
        </xdr:cNvSpPr>
      </xdr:nvSpPr>
      <xdr:spPr bwMode="auto">
        <a:xfrm flipV="1">
          <a:off x="86296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6"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7" name="TextBox 6"/>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8"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9" name="TextBox 8"/>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zoomScale="94" workbookViewId="0"/>
  </sheetViews>
  <sheetFormatPr defaultColWidth="8.88671875" defaultRowHeight="12.75"/>
  <cols>
    <col min="1" max="1" width="2.21875" style="962" customWidth="1"/>
    <col min="2" max="2" width="22.77734375" style="962" customWidth="1"/>
    <col min="3" max="3" width="6" style="962" customWidth="1"/>
    <col min="4" max="4" width="24.109375" style="962" customWidth="1"/>
    <col min="5" max="6" width="12.44140625" style="962" customWidth="1"/>
    <col min="7" max="7" width="4" style="962" customWidth="1"/>
    <col min="8" max="8" width="12.44140625" style="962" customWidth="1"/>
    <col min="9" max="9" width="12" style="962" customWidth="1"/>
    <col min="10" max="10" width="3.88671875" style="962" customWidth="1"/>
    <col min="11" max="11" width="28.44140625" style="962" customWidth="1"/>
    <col min="12" max="16384" width="8.88671875" style="962"/>
  </cols>
  <sheetData>
    <row r="1" spans="1:10" s="959" customFormat="1">
      <c r="A1" s="957"/>
      <c r="B1" s="957"/>
      <c r="C1" s="957"/>
      <c r="D1" s="957"/>
      <c r="E1" s="957"/>
      <c r="F1" s="957"/>
      <c r="G1" s="957"/>
      <c r="H1" s="957"/>
      <c r="I1" s="957"/>
      <c r="J1" s="958"/>
    </row>
    <row r="2" spans="1:10" s="959" customFormat="1">
      <c r="A2" s="957"/>
      <c r="B2" s="957"/>
      <c r="C2" s="957"/>
      <c r="D2" s="957"/>
      <c r="E2" s="957"/>
      <c r="F2" s="957"/>
      <c r="G2" s="957"/>
      <c r="H2" s="957"/>
      <c r="I2" s="957"/>
      <c r="J2" s="958"/>
    </row>
    <row r="3" spans="1:10" s="959" customFormat="1">
      <c r="A3" s="957"/>
      <c r="B3" s="957"/>
      <c r="C3" s="957"/>
      <c r="D3" s="957"/>
      <c r="E3" s="957"/>
      <c r="F3" s="957"/>
      <c r="G3" s="957"/>
      <c r="H3" s="957"/>
      <c r="I3" s="957"/>
      <c r="J3" s="958"/>
    </row>
    <row r="4" spans="1:10" s="959" customFormat="1">
      <c r="A4" s="957" t="s">
        <v>1024</v>
      </c>
      <c r="B4" s="957"/>
      <c r="C4" s="957"/>
      <c r="D4" s="957"/>
      <c r="E4" s="957"/>
      <c r="F4" s="957"/>
      <c r="G4" s="957"/>
      <c r="H4" s="957"/>
      <c r="I4" s="1335" t="s">
        <v>1020</v>
      </c>
      <c r="J4" s="958"/>
    </row>
    <row r="5" spans="1:10" ht="18">
      <c r="A5" s="957" t="s">
        <v>1022</v>
      </c>
      <c r="B5" s="960"/>
      <c r="C5" s="960"/>
      <c r="D5" s="960"/>
      <c r="E5" s="960"/>
      <c r="F5" s="960"/>
      <c r="G5" s="960"/>
      <c r="H5" s="960"/>
      <c r="I5" s="1335" t="s">
        <v>1021</v>
      </c>
      <c r="J5" s="961"/>
    </row>
    <row r="6" spans="1:10" ht="18">
      <c r="A6" s="957" t="s">
        <v>886</v>
      </c>
      <c r="B6" s="960"/>
      <c r="C6" s="960"/>
      <c r="D6" s="960"/>
      <c r="E6" s="960"/>
      <c r="F6" s="960"/>
      <c r="G6" s="960"/>
      <c r="H6" s="960"/>
      <c r="I6" s="960"/>
      <c r="J6" s="961"/>
    </row>
    <row r="7" spans="1:10" ht="18">
      <c r="A7" s="957" t="s">
        <v>887</v>
      </c>
      <c r="B7" s="960"/>
      <c r="C7" s="960"/>
      <c r="D7" s="960"/>
      <c r="E7" s="960"/>
      <c r="F7" s="960"/>
      <c r="G7" s="960"/>
      <c r="H7" s="960"/>
      <c r="I7" s="960"/>
      <c r="J7" s="961"/>
    </row>
    <row r="8" spans="1:10" ht="18.75" thickBot="1">
      <c r="A8" s="960"/>
      <c r="B8" s="960"/>
      <c r="C8" s="960"/>
      <c r="D8" s="960"/>
      <c r="E8" s="960"/>
      <c r="F8" s="960"/>
      <c r="G8" s="960"/>
      <c r="H8" s="960"/>
      <c r="I8" s="960"/>
      <c r="J8" s="961"/>
    </row>
    <row r="9" spans="1:10" ht="18.75" thickTop="1">
      <c r="A9" s="963" t="s">
        <v>888</v>
      </c>
      <c r="B9" s="964"/>
      <c r="C9" s="964"/>
      <c r="D9" s="964"/>
      <c r="E9" s="964"/>
      <c r="F9" s="964"/>
      <c r="G9" s="964"/>
      <c r="H9" s="964"/>
      <c r="I9" s="964"/>
      <c r="J9" s="965"/>
    </row>
    <row r="10" spans="1:10" ht="18.75" thickBot="1">
      <c r="A10" s="2512" t="s">
        <v>1456</v>
      </c>
      <c r="B10" s="960"/>
      <c r="C10" s="960"/>
      <c r="D10" s="960"/>
      <c r="E10" s="960"/>
      <c r="F10" s="960"/>
      <c r="G10" s="960"/>
      <c r="H10" s="960"/>
      <c r="I10" s="960"/>
      <c r="J10" s="965"/>
    </row>
    <row r="11" spans="1:10" ht="18.75" thickTop="1">
      <c r="A11" s="966"/>
      <c r="B11" s="967"/>
      <c r="C11" s="967"/>
      <c r="D11" s="967"/>
      <c r="E11" s="967"/>
      <c r="F11" s="967"/>
      <c r="G11" s="967"/>
      <c r="H11" s="967"/>
      <c r="I11" s="967"/>
      <c r="J11" s="968"/>
    </row>
    <row r="12" spans="1:10">
      <c r="A12" s="957" t="s">
        <v>889</v>
      </c>
      <c r="B12" s="960"/>
      <c r="C12" s="960"/>
      <c r="D12" s="960"/>
      <c r="E12" s="957"/>
      <c r="F12" s="957"/>
      <c r="G12" s="957"/>
      <c r="H12" s="960"/>
      <c r="I12" s="960"/>
      <c r="J12" s="969"/>
    </row>
    <row r="13" spans="1:10">
      <c r="A13" s="959"/>
      <c r="J13" s="969"/>
    </row>
    <row r="14" spans="1:10">
      <c r="A14" s="959" t="s">
        <v>890</v>
      </c>
      <c r="B14" s="972"/>
      <c r="J14" s="970"/>
    </row>
    <row r="15" spans="1:10">
      <c r="A15" s="959"/>
      <c r="B15" s="1070"/>
      <c r="J15" s="970"/>
    </row>
    <row r="16" spans="1:10">
      <c r="A16" s="959"/>
      <c r="B16" s="2241" t="s">
        <v>922</v>
      </c>
      <c r="D16" s="971" t="s">
        <v>891</v>
      </c>
      <c r="F16" s="972"/>
      <c r="J16" s="1071">
        <v>2</v>
      </c>
    </row>
    <row r="17" spans="1:255">
      <c r="A17" s="959"/>
      <c r="B17" s="2241" t="s">
        <v>923</v>
      </c>
      <c r="D17" s="962" t="s">
        <v>1272</v>
      </c>
      <c r="E17" s="974"/>
      <c r="F17" s="975"/>
      <c r="G17" s="974"/>
      <c r="H17" s="974"/>
      <c r="I17" s="974"/>
      <c r="J17" s="1071">
        <v>3</v>
      </c>
      <c r="M17" s="976"/>
    </row>
    <row r="18" spans="1:255">
      <c r="A18" s="977"/>
      <c r="B18" s="2236" t="s">
        <v>1428</v>
      </c>
      <c r="D18" s="979" t="s">
        <v>1062</v>
      </c>
      <c r="E18" s="971"/>
      <c r="F18" s="971"/>
      <c r="G18" s="971"/>
      <c r="H18" s="971"/>
      <c r="I18" s="971"/>
      <c r="J18" s="1071">
        <v>4</v>
      </c>
    </row>
    <row r="19" spans="1:255">
      <c r="A19" s="959"/>
      <c r="B19" s="2236" t="s">
        <v>924</v>
      </c>
      <c r="D19" s="978" t="s">
        <v>892</v>
      </c>
      <c r="E19" s="978"/>
      <c r="F19" s="978"/>
      <c r="G19" s="978"/>
      <c r="H19" s="978"/>
      <c r="I19" s="978"/>
      <c r="J19" s="1071">
        <v>5</v>
      </c>
      <c r="M19" s="976"/>
    </row>
    <row r="20" spans="1:255">
      <c r="A20" s="959"/>
      <c r="B20" s="2236" t="s">
        <v>925</v>
      </c>
      <c r="D20" s="978" t="s">
        <v>893</v>
      </c>
      <c r="E20" s="978"/>
      <c r="F20" s="978"/>
      <c r="G20" s="978"/>
      <c r="H20" s="978"/>
      <c r="I20" s="978"/>
      <c r="J20" s="1071">
        <v>6</v>
      </c>
      <c r="M20" s="976"/>
    </row>
    <row r="21" spans="1:255">
      <c r="A21" s="959"/>
      <c r="B21" s="2236" t="s">
        <v>1234</v>
      </c>
      <c r="D21" s="979" t="s">
        <v>1273</v>
      </c>
      <c r="E21" s="978"/>
      <c r="F21" s="978"/>
      <c r="G21" s="978"/>
      <c r="H21" s="978"/>
      <c r="I21" s="978"/>
      <c r="J21" s="1071">
        <v>7</v>
      </c>
      <c r="M21" s="976"/>
    </row>
    <row r="22" spans="1:255">
      <c r="A22" s="959"/>
      <c r="B22" s="2236" t="s">
        <v>1235</v>
      </c>
      <c r="D22" s="979" t="s">
        <v>1274</v>
      </c>
      <c r="E22" s="978"/>
      <c r="F22" s="978"/>
      <c r="G22" s="978"/>
      <c r="H22" s="978"/>
      <c r="I22" s="978"/>
      <c r="J22" s="1071">
        <v>8</v>
      </c>
      <c r="M22" s="976"/>
    </row>
    <row r="23" spans="1:255">
      <c r="A23" s="959"/>
      <c r="B23" s="2236" t="s">
        <v>1236</v>
      </c>
      <c r="D23" s="979" t="s">
        <v>1281</v>
      </c>
      <c r="E23" s="978"/>
      <c r="F23" s="978"/>
      <c r="G23" s="978"/>
      <c r="H23" s="978"/>
      <c r="I23" s="978"/>
      <c r="J23" s="1071">
        <v>9</v>
      </c>
      <c r="M23" s="976"/>
    </row>
    <row r="24" spans="1:255">
      <c r="A24" s="959"/>
      <c r="B24" s="2236" t="s">
        <v>1237</v>
      </c>
      <c r="D24" s="979" t="s">
        <v>1275</v>
      </c>
      <c r="E24" s="978"/>
      <c r="F24" s="978"/>
      <c r="G24" s="978"/>
      <c r="H24" s="978"/>
      <c r="I24" s="978"/>
      <c r="J24" s="1071">
        <v>10</v>
      </c>
      <c r="M24" s="976"/>
    </row>
    <row r="25" spans="1:255">
      <c r="A25" s="959"/>
      <c r="B25" s="2236" t="s">
        <v>1238</v>
      </c>
      <c r="D25" s="979" t="s">
        <v>1276</v>
      </c>
      <c r="E25" s="978"/>
      <c r="F25" s="978"/>
      <c r="G25" s="978"/>
      <c r="H25" s="978"/>
      <c r="I25" s="978"/>
      <c r="J25" s="1071">
        <v>11</v>
      </c>
      <c r="M25" s="976"/>
    </row>
    <row r="26" spans="1:255">
      <c r="A26" s="959"/>
      <c r="B26" s="2236" t="s">
        <v>1239</v>
      </c>
      <c r="D26" s="979" t="s">
        <v>1277</v>
      </c>
      <c r="E26" s="978"/>
      <c r="F26" s="978"/>
      <c r="G26" s="978"/>
      <c r="H26" s="978"/>
      <c r="I26" s="978"/>
      <c r="J26" s="1071">
        <v>12</v>
      </c>
      <c r="M26" s="976"/>
    </row>
    <row r="27" spans="1:255">
      <c r="A27" s="959"/>
      <c r="B27" s="2236" t="s">
        <v>1240</v>
      </c>
      <c r="D27" s="979" t="s">
        <v>1278</v>
      </c>
      <c r="E27" s="978"/>
      <c r="F27" s="978"/>
      <c r="G27" s="978"/>
      <c r="H27" s="978"/>
      <c r="I27" s="978"/>
      <c r="J27" s="1071">
        <v>13</v>
      </c>
      <c r="M27" s="976"/>
    </row>
    <row r="28" spans="1:255">
      <c r="A28" s="959"/>
      <c r="B28" s="2236" t="s">
        <v>1241</v>
      </c>
      <c r="D28" s="979" t="s">
        <v>1279</v>
      </c>
      <c r="E28" s="978"/>
      <c r="F28" s="978"/>
      <c r="G28" s="978"/>
      <c r="H28" s="978"/>
      <c r="I28" s="978"/>
      <c r="J28" s="1071">
        <v>14</v>
      </c>
      <c r="M28" s="976"/>
    </row>
    <row r="29" spans="1:255">
      <c r="A29" s="959"/>
      <c r="B29" s="2236" t="s">
        <v>926</v>
      </c>
      <c r="D29" s="980" t="s">
        <v>894</v>
      </c>
      <c r="E29" s="978"/>
      <c r="F29" s="978"/>
      <c r="G29" s="978"/>
      <c r="H29" s="978"/>
      <c r="I29" s="978"/>
      <c r="J29" s="1071">
        <v>15</v>
      </c>
      <c r="M29" s="976"/>
    </row>
    <row r="30" spans="1:255">
      <c r="A30" s="959"/>
      <c r="B30" s="2241" t="s">
        <v>945</v>
      </c>
      <c r="D30" s="979" t="s">
        <v>1280</v>
      </c>
      <c r="E30" s="979"/>
      <c r="F30" s="979"/>
      <c r="G30" s="979"/>
      <c r="H30" s="979"/>
      <c r="I30" s="979"/>
      <c r="J30" s="1071">
        <v>16</v>
      </c>
      <c r="K30" s="959"/>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59"/>
      <c r="AQ30" s="959"/>
      <c r="AR30" s="959"/>
      <c r="AS30" s="959"/>
      <c r="AT30" s="959"/>
      <c r="AU30" s="959"/>
      <c r="AV30" s="959"/>
      <c r="AW30" s="959"/>
      <c r="AX30" s="959"/>
      <c r="AY30" s="959"/>
      <c r="AZ30" s="959"/>
      <c r="BA30" s="959"/>
      <c r="BB30" s="959"/>
      <c r="BC30" s="959"/>
      <c r="BD30" s="959"/>
      <c r="BE30" s="959"/>
      <c r="BF30" s="959"/>
      <c r="BG30" s="959"/>
      <c r="BH30" s="959"/>
      <c r="BI30" s="959"/>
      <c r="BJ30" s="959"/>
      <c r="BK30" s="959"/>
      <c r="BL30" s="959"/>
      <c r="BM30" s="959"/>
      <c r="BN30" s="959"/>
      <c r="BO30" s="959"/>
      <c r="BP30" s="959"/>
      <c r="BQ30" s="959"/>
      <c r="BR30" s="959"/>
      <c r="BS30" s="959"/>
      <c r="BT30" s="959"/>
      <c r="BU30" s="959"/>
      <c r="BV30" s="959"/>
      <c r="BW30" s="959"/>
      <c r="BX30" s="959"/>
      <c r="BY30" s="959"/>
      <c r="BZ30" s="959"/>
      <c r="CA30" s="959"/>
      <c r="CB30" s="959"/>
      <c r="CC30" s="959"/>
      <c r="CD30" s="959"/>
      <c r="CE30" s="959"/>
      <c r="CF30" s="959"/>
      <c r="CG30" s="959"/>
      <c r="CH30" s="959"/>
      <c r="CI30" s="959"/>
      <c r="CJ30" s="959"/>
      <c r="CK30" s="959"/>
      <c r="CL30" s="959"/>
      <c r="CM30" s="959"/>
      <c r="CN30" s="959"/>
      <c r="CO30" s="959"/>
      <c r="CP30" s="959"/>
      <c r="CQ30" s="959"/>
      <c r="CR30" s="959"/>
      <c r="CS30" s="959"/>
      <c r="CT30" s="959"/>
      <c r="CU30" s="959"/>
      <c r="CV30" s="959"/>
      <c r="CW30" s="959"/>
      <c r="CX30" s="959"/>
      <c r="CY30" s="959"/>
      <c r="CZ30" s="959"/>
      <c r="DA30" s="959"/>
      <c r="DB30" s="959"/>
      <c r="DC30" s="959"/>
      <c r="DD30" s="959"/>
      <c r="DE30" s="959"/>
      <c r="DF30" s="959"/>
      <c r="DG30" s="959"/>
      <c r="DH30" s="959"/>
      <c r="DI30" s="959"/>
      <c r="DJ30" s="959"/>
      <c r="DK30" s="959"/>
      <c r="DL30" s="959"/>
      <c r="DM30" s="959"/>
      <c r="DN30" s="959"/>
      <c r="DO30" s="959"/>
      <c r="DP30" s="959"/>
      <c r="DQ30" s="959"/>
      <c r="DR30" s="959"/>
      <c r="DS30" s="959"/>
      <c r="DT30" s="959"/>
      <c r="DU30" s="959"/>
      <c r="DV30" s="959"/>
      <c r="DW30" s="959"/>
      <c r="DX30" s="959"/>
      <c r="DY30" s="959"/>
      <c r="DZ30" s="959"/>
      <c r="EA30" s="959"/>
      <c r="EB30" s="959"/>
      <c r="EC30" s="959"/>
      <c r="ED30" s="959"/>
      <c r="EE30" s="959"/>
      <c r="EF30" s="959"/>
      <c r="EG30" s="959"/>
      <c r="EH30" s="959"/>
      <c r="EI30" s="959"/>
      <c r="EJ30" s="959"/>
      <c r="EK30" s="959"/>
      <c r="EL30" s="959"/>
      <c r="EM30" s="959"/>
      <c r="EN30" s="959"/>
      <c r="EO30" s="959"/>
      <c r="EP30" s="959"/>
      <c r="EQ30" s="959"/>
      <c r="ER30" s="959"/>
      <c r="ES30" s="959"/>
      <c r="ET30" s="959"/>
      <c r="EU30" s="959"/>
      <c r="EV30" s="959"/>
      <c r="EW30" s="959"/>
      <c r="EX30" s="959"/>
      <c r="EY30" s="959"/>
      <c r="EZ30" s="959"/>
      <c r="FA30" s="959"/>
      <c r="FB30" s="959"/>
      <c r="FC30" s="959"/>
      <c r="FD30" s="959"/>
      <c r="FE30" s="959"/>
      <c r="FF30" s="959"/>
      <c r="FG30" s="959"/>
      <c r="FH30" s="959"/>
      <c r="FI30" s="959"/>
      <c r="FJ30" s="959"/>
      <c r="FK30" s="959"/>
      <c r="FL30" s="959"/>
      <c r="FM30" s="959"/>
      <c r="FN30" s="959"/>
      <c r="FO30" s="959"/>
      <c r="FP30" s="959"/>
      <c r="FQ30" s="959"/>
      <c r="FR30" s="959"/>
      <c r="FS30" s="959"/>
      <c r="FT30" s="959"/>
      <c r="FU30" s="959"/>
      <c r="FV30" s="959"/>
      <c r="FW30" s="959"/>
      <c r="FX30" s="959"/>
      <c r="FY30" s="959"/>
      <c r="FZ30" s="959"/>
      <c r="GA30" s="959"/>
      <c r="GB30" s="959"/>
      <c r="GC30" s="959"/>
      <c r="GD30" s="959"/>
      <c r="GE30" s="959"/>
      <c r="GF30" s="959"/>
      <c r="GG30" s="959"/>
      <c r="GH30" s="959"/>
      <c r="GI30" s="959"/>
      <c r="GJ30" s="959"/>
      <c r="GK30" s="959"/>
      <c r="GL30" s="959"/>
      <c r="GM30" s="959"/>
      <c r="GN30" s="959"/>
      <c r="GO30" s="959"/>
      <c r="GP30" s="959"/>
      <c r="GQ30" s="959"/>
      <c r="GR30" s="959"/>
      <c r="GS30" s="959"/>
      <c r="GT30" s="959"/>
      <c r="GU30" s="959"/>
      <c r="GV30" s="959"/>
      <c r="GW30" s="959"/>
      <c r="GX30" s="959"/>
      <c r="GY30" s="959"/>
      <c r="GZ30" s="959"/>
      <c r="HA30" s="959"/>
      <c r="HB30" s="959"/>
      <c r="HC30" s="959"/>
      <c r="HD30" s="959"/>
      <c r="HE30" s="959"/>
      <c r="HF30" s="959"/>
      <c r="HG30" s="959"/>
      <c r="HH30" s="959"/>
      <c r="HI30" s="959"/>
      <c r="HJ30" s="959"/>
      <c r="HK30" s="959"/>
      <c r="HL30" s="959"/>
      <c r="HM30" s="959"/>
      <c r="HN30" s="959"/>
      <c r="HO30" s="959"/>
      <c r="HP30" s="959"/>
      <c r="HQ30" s="959"/>
      <c r="HR30" s="959"/>
      <c r="HS30" s="959"/>
      <c r="HT30" s="959"/>
      <c r="HU30" s="959"/>
      <c r="HV30" s="959"/>
      <c r="HW30" s="959"/>
      <c r="HX30" s="959"/>
      <c r="HY30" s="959"/>
      <c r="HZ30" s="959"/>
      <c r="IA30" s="959"/>
      <c r="IB30" s="959"/>
      <c r="IC30" s="959"/>
      <c r="ID30" s="959"/>
      <c r="IE30" s="959"/>
      <c r="IF30" s="959"/>
      <c r="IG30" s="959"/>
      <c r="IH30" s="959"/>
      <c r="II30" s="959"/>
      <c r="IJ30" s="959"/>
      <c r="IK30" s="959"/>
      <c r="IL30" s="959"/>
      <c r="IM30" s="959"/>
      <c r="IN30" s="959"/>
      <c r="IO30" s="959"/>
      <c r="IP30" s="959"/>
      <c r="IQ30" s="959"/>
      <c r="IR30" s="959"/>
      <c r="IS30" s="959"/>
      <c r="IT30" s="959"/>
      <c r="IU30" s="959"/>
    </row>
    <row r="31" spans="1:255">
      <c r="A31" s="959"/>
      <c r="B31" s="2236" t="s">
        <v>1242</v>
      </c>
      <c r="D31" s="979" t="s">
        <v>1272</v>
      </c>
      <c r="E31" s="974"/>
      <c r="F31" s="974"/>
      <c r="G31" s="974"/>
      <c r="H31" s="974"/>
      <c r="I31" s="974"/>
      <c r="J31" s="1071">
        <v>18</v>
      </c>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9"/>
      <c r="AU31" s="959"/>
      <c r="AV31" s="959"/>
      <c r="AW31" s="959"/>
      <c r="AX31" s="959"/>
      <c r="AY31" s="959"/>
      <c r="AZ31" s="959"/>
      <c r="BA31" s="959"/>
      <c r="BB31" s="959"/>
      <c r="BC31" s="959"/>
      <c r="BD31" s="959"/>
      <c r="BE31" s="959"/>
      <c r="BF31" s="959"/>
      <c r="BG31" s="959"/>
      <c r="BH31" s="959"/>
      <c r="BI31" s="959"/>
      <c r="BJ31" s="959"/>
      <c r="BK31" s="959"/>
      <c r="BL31" s="959"/>
      <c r="BM31" s="959"/>
      <c r="BN31" s="959"/>
      <c r="BO31" s="959"/>
      <c r="BP31" s="959"/>
      <c r="BQ31" s="959"/>
      <c r="BR31" s="959"/>
      <c r="BS31" s="959"/>
      <c r="BT31" s="959"/>
      <c r="BU31" s="959"/>
      <c r="BV31" s="959"/>
      <c r="BW31" s="959"/>
      <c r="BX31" s="959"/>
      <c r="BY31" s="959"/>
      <c r="BZ31" s="959"/>
      <c r="CA31" s="959"/>
      <c r="CB31" s="959"/>
      <c r="CC31" s="959"/>
      <c r="CD31" s="959"/>
      <c r="CE31" s="959"/>
      <c r="CF31" s="959"/>
      <c r="CG31" s="959"/>
      <c r="CH31" s="959"/>
      <c r="CI31" s="959"/>
      <c r="CJ31" s="959"/>
      <c r="CK31" s="959"/>
      <c r="CL31" s="959"/>
      <c r="CM31" s="959"/>
      <c r="CN31" s="959"/>
      <c r="CO31" s="959"/>
      <c r="CP31" s="959"/>
      <c r="CQ31" s="959"/>
      <c r="CR31" s="959"/>
      <c r="CS31" s="959"/>
      <c r="CT31" s="959"/>
      <c r="CU31" s="959"/>
      <c r="CV31" s="959"/>
      <c r="CW31" s="959"/>
      <c r="CX31" s="959"/>
      <c r="CY31" s="959"/>
      <c r="CZ31" s="959"/>
      <c r="DA31" s="959"/>
      <c r="DB31" s="959"/>
      <c r="DC31" s="959"/>
      <c r="DD31" s="959"/>
      <c r="DE31" s="959"/>
      <c r="DF31" s="959"/>
      <c r="DG31" s="959"/>
      <c r="DH31" s="959"/>
      <c r="DI31" s="959"/>
      <c r="DJ31" s="959"/>
      <c r="DK31" s="959"/>
      <c r="DL31" s="959"/>
      <c r="DM31" s="959"/>
      <c r="DN31" s="959"/>
      <c r="DO31" s="959"/>
      <c r="DP31" s="959"/>
      <c r="DQ31" s="959"/>
      <c r="DR31" s="959"/>
      <c r="DS31" s="959"/>
      <c r="DT31" s="959"/>
      <c r="DU31" s="959"/>
      <c r="DV31" s="959"/>
      <c r="DW31" s="959"/>
      <c r="DX31" s="959"/>
      <c r="DY31" s="959"/>
      <c r="DZ31" s="959"/>
      <c r="EA31" s="959"/>
      <c r="EB31" s="959"/>
      <c r="EC31" s="959"/>
      <c r="ED31" s="959"/>
      <c r="EE31" s="959"/>
      <c r="EF31" s="959"/>
      <c r="EG31" s="959"/>
      <c r="EH31" s="959"/>
      <c r="EI31" s="959"/>
      <c r="EJ31" s="959"/>
      <c r="EK31" s="959"/>
      <c r="EL31" s="959"/>
      <c r="EM31" s="959"/>
      <c r="EN31" s="959"/>
      <c r="EO31" s="959"/>
      <c r="EP31" s="959"/>
      <c r="EQ31" s="959"/>
      <c r="ER31" s="959"/>
      <c r="ES31" s="959"/>
      <c r="ET31" s="959"/>
      <c r="EU31" s="959"/>
      <c r="EV31" s="959"/>
      <c r="EW31" s="959"/>
      <c r="EX31" s="959"/>
      <c r="EY31" s="959"/>
      <c r="EZ31" s="959"/>
      <c r="FA31" s="959"/>
      <c r="FB31" s="959"/>
      <c r="FC31" s="959"/>
      <c r="FD31" s="959"/>
      <c r="FE31" s="959"/>
      <c r="FF31" s="959"/>
      <c r="FG31" s="959"/>
      <c r="FH31" s="959"/>
      <c r="FI31" s="959"/>
      <c r="FJ31" s="959"/>
      <c r="FK31" s="959"/>
      <c r="FL31" s="959"/>
      <c r="FM31" s="959"/>
      <c r="FN31" s="959"/>
      <c r="FO31" s="959"/>
      <c r="FP31" s="959"/>
      <c r="FQ31" s="959"/>
      <c r="FR31" s="959"/>
      <c r="FS31" s="959"/>
      <c r="FT31" s="959"/>
      <c r="FU31" s="959"/>
      <c r="FV31" s="959"/>
      <c r="FW31" s="959"/>
      <c r="FX31" s="959"/>
      <c r="FY31" s="959"/>
      <c r="FZ31" s="959"/>
      <c r="GA31" s="959"/>
      <c r="GB31" s="959"/>
      <c r="GC31" s="959"/>
      <c r="GD31" s="959"/>
      <c r="GE31" s="959"/>
      <c r="GF31" s="959"/>
      <c r="GG31" s="959"/>
      <c r="GH31" s="959"/>
      <c r="GI31" s="959"/>
      <c r="GJ31" s="959"/>
      <c r="GK31" s="959"/>
      <c r="GL31" s="959"/>
      <c r="GM31" s="959"/>
      <c r="GN31" s="959"/>
      <c r="GO31" s="959"/>
      <c r="GP31" s="959"/>
      <c r="GQ31" s="959"/>
      <c r="GR31" s="959"/>
      <c r="GS31" s="959"/>
      <c r="GT31" s="959"/>
      <c r="GU31" s="959"/>
      <c r="GV31" s="959"/>
      <c r="GW31" s="959"/>
      <c r="GX31" s="959"/>
      <c r="GY31" s="959"/>
      <c r="GZ31" s="959"/>
      <c r="HA31" s="959"/>
      <c r="HB31" s="959"/>
      <c r="HC31" s="959"/>
      <c r="HD31" s="959"/>
      <c r="HE31" s="959"/>
      <c r="HF31" s="959"/>
      <c r="HG31" s="959"/>
      <c r="HH31" s="959"/>
      <c r="HI31" s="959"/>
      <c r="HJ31" s="959"/>
      <c r="HK31" s="959"/>
      <c r="HL31" s="959"/>
      <c r="HM31" s="959"/>
      <c r="HN31" s="959"/>
      <c r="HO31" s="959"/>
      <c r="HP31" s="959"/>
      <c r="HQ31" s="959"/>
      <c r="HR31" s="959"/>
      <c r="HS31" s="959"/>
      <c r="HT31" s="959"/>
      <c r="HU31" s="959"/>
      <c r="HV31" s="959"/>
      <c r="HW31" s="959"/>
      <c r="HX31" s="959"/>
      <c r="HY31" s="959"/>
      <c r="HZ31" s="959"/>
      <c r="IA31" s="959"/>
      <c r="IB31" s="959"/>
      <c r="IC31" s="959"/>
      <c r="ID31" s="959"/>
      <c r="IE31" s="959"/>
      <c r="IF31" s="959"/>
      <c r="IG31" s="959"/>
      <c r="IH31" s="959"/>
      <c r="II31" s="959"/>
      <c r="IJ31" s="959"/>
      <c r="IK31" s="959"/>
      <c r="IL31" s="959"/>
      <c r="IM31" s="959"/>
      <c r="IN31" s="959"/>
      <c r="IO31" s="959"/>
      <c r="IP31" s="959"/>
      <c r="IQ31" s="959"/>
      <c r="IR31" s="959"/>
      <c r="IS31" s="959"/>
      <c r="IT31" s="959"/>
      <c r="IU31" s="959"/>
    </row>
    <row r="32" spans="1:255">
      <c r="A32" s="959"/>
      <c r="B32" s="2236"/>
      <c r="D32" s="981"/>
      <c r="E32" s="981"/>
      <c r="F32" s="981"/>
      <c r="G32" s="981"/>
      <c r="H32" s="981"/>
      <c r="I32" s="981"/>
      <c r="J32" s="1071"/>
      <c r="K32" s="959"/>
      <c r="L32" s="959"/>
      <c r="M32" s="959"/>
      <c r="N32" s="959"/>
      <c r="O32" s="959"/>
      <c r="P32" s="959"/>
      <c r="Q32" s="959"/>
      <c r="R32" s="959"/>
      <c r="S32" s="959"/>
      <c r="T32" s="959"/>
      <c r="U32" s="959"/>
      <c r="V32" s="959"/>
      <c r="W32" s="959"/>
      <c r="X32" s="959"/>
      <c r="Y32" s="959"/>
      <c r="Z32" s="959"/>
      <c r="AA32" s="959"/>
      <c r="AB32" s="959"/>
      <c r="AC32" s="959"/>
      <c r="AD32" s="959"/>
      <c r="AE32" s="959"/>
      <c r="AF32" s="959"/>
      <c r="AG32" s="959"/>
      <c r="AH32" s="959"/>
      <c r="AI32" s="959"/>
      <c r="AJ32" s="959"/>
      <c r="AK32" s="959"/>
      <c r="AL32" s="959"/>
      <c r="AM32" s="959"/>
      <c r="AN32" s="959"/>
      <c r="AO32" s="959"/>
      <c r="AP32" s="959"/>
      <c r="AQ32" s="959"/>
      <c r="AR32" s="959"/>
      <c r="AS32" s="959"/>
      <c r="AT32" s="959"/>
      <c r="AU32" s="959"/>
      <c r="AV32" s="959"/>
      <c r="AW32" s="959"/>
      <c r="AX32" s="959"/>
      <c r="AY32" s="959"/>
      <c r="AZ32" s="959"/>
      <c r="BA32" s="959"/>
      <c r="BB32" s="959"/>
      <c r="BC32" s="959"/>
      <c r="BD32" s="959"/>
      <c r="BE32" s="959"/>
      <c r="BF32" s="959"/>
      <c r="BG32" s="959"/>
      <c r="BH32" s="959"/>
      <c r="BI32" s="959"/>
      <c r="BJ32" s="959"/>
      <c r="BK32" s="959"/>
      <c r="BL32" s="959"/>
      <c r="BM32" s="959"/>
      <c r="BN32" s="959"/>
      <c r="BO32" s="959"/>
      <c r="BP32" s="959"/>
      <c r="BQ32" s="959"/>
      <c r="BR32" s="959"/>
      <c r="BS32" s="959"/>
      <c r="BT32" s="959"/>
      <c r="BU32" s="959"/>
      <c r="BV32" s="959"/>
      <c r="BW32" s="959"/>
      <c r="BX32" s="959"/>
      <c r="BY32" s="959"/>
      <c r="BZ32" s="959"/>
      <c r="CA32" s="959"/>
      <c r="CB32" s="959"/>
      <c r="CC32" s="959"/>
      <c r="CD32" s="959"/>
      <c r="CE32" s="959"/>
      <c r="CF32" s="959"/>
      <c r="CG32" s="959"/>
      <c r="CH32" s="959"/>
      <c r="CI32" s="959"/>
      <c r="CJ32" s="959"/>
      <c r="CK32" s="959"/>
      <c r="CL32" s="959"/>
      <c r="CM32" s="959"/>
      <c r="CN32" s="959"/>
      <c r="CO32" s="959"/>
      <c r="CP32" s="959"/>
      <c r="CQ32" s="959"/>
      <c r="CR32" s="959"/>
      <c r="CS32" s="959"/>
      <c r="CT32" s="959"/>
      <c r="CU32" s="959"/>
      <c r="CV32" s="959"/>
      <c r="CW32" s="959"/>
      <c r="CX32" s="959"/>
      <c r="CY32" s="959"/>
      <c r="CZ32" s="959"/>
      <c r="DA32" s="959"/>
      <c r="DB32" s="959"/>
      <c r="DC32" s="959"/>
      <c r="DD32" s="959"/>
      <c r="DE32" s="959"/>
      <c r="DF32" s="959"/>
      <c r="DG32" s="959"/>
      <c r="DH32" s="959"/>
      <c r="DI32" s="959"/>
      <c r="DJ32" s="959"/>
      <c r="DK32" s="959"/>
      <c r="DL32" s="959"/>
      <c r="DM32" s="959"/>
      <c r="DN32" s="959"/>
      <c r="DO32" s="959"/>
      <c r="DP32" s="959"/>
      <c r="DQ32" s="959"/>
      <c r="DR32" s="959"/>
      <c r="DS32" s="959"/>
      <c r="DT32" s="959"/>
      <c r="DU32" s="959"/>
      <c r="DV32" s="959"/>
      <c r="DW32" s="959"/>
      <c r="DX32" s="959"/>
      <c r="DY32" s="959"/>
      <c r="DZ32" s="959"/>
      <c r="EA32" s="959"/>
      <c r="EB32" s="959"/>
      <c r="EC32" s="959"/>
      <c r="ED32" s="959"/>
      <c r="EE32" s="959"/>
      <c r="EF32" s="959"/>
      <c r="EG32" s="959"/>
      <c r="EH32" s="959"/>
      <c r="EI32" s="959"/>
      <c r="EJ32" s="959"/>
      <c r="EK32" s="959"/>
      <c r="EL32" s="959"/>
      <c r="EM32" s="959"/>
      <c r="EN32" s="959"/>
      <c r="EO32" s="959"/>
      <c r="EP32" s="959"/>
      <c r="EQ32" s="959"/>
      <c r="ER32" s="959"/>
      <c r="ES32" s="959"/>
      <c r="ET32" s="959"/>
      <c r="EU32" s="959"/>
      <c r="EV32" s="959"/>
      <c r="EW32" s="959"/>
      <c r="EX32" s="959"/>
      <c r="EY32" s="959"/>
      <c r="EZ32" s="959"/>
      <c r="FA32" s="959"/>
      <c r="FB32" s="959"/>
      <c r="FC32" s="959"/>
      <c r="FD32" s="959"/>
      <c r="FE32" s="959"/>
      <c r="FF32" s="959"/>
      <c r="FG32" s="959"/>
      <c r="FH32" s="959"/>
      <c r="FI32" s="959"/>
      <c r="FJ32" s="959"/>
      <c r="FK32" s="959"/>
      <c r="FL32" s="959"/>
      <c r="FM32" s="959"/>
      <c r="FN32" s="959"/>
      <c r="FO32" s="959"/>
      <c r="FP32" s="959"/>
      <c r="FQ32" s="959"/>
      <c r="FR32" s="959"/>
      <c r="FS32" s="959"/>
      <c r="FT32" s="959"/>
      <c r="FU32" s="959"/>
      <c r="FV32" s="959"/>
      <c r="FW32" s="959"/>
      <c r="FX32" s="959"/>
      <c r="FY32" s="959"/>
      <c r="FZ32" s="959"/>
      <c r="GA32" s="959"/>
      <c r="GB32" s="959"/>
      <c r="GC32" s="959"/>
      <c r="GD32" s="959"/>
      <c r="GE32" s="959"/>
      <c r="GF32" s="959"/>
      <c r="GG32" s="959"/>
      <c r="GH32" s="959"/>
      <c r="GI32" s="959"/>
      <c r="GJ32" s="959"/>
      <c r="GK32" s="959"/>
      <c r="GL32" s="959"/>
      <c r="GM32" s="959"/>
      <c r="GN32" s="959"/>
      <c r="GO32" s="959"/>
      <c r="GP32" s="959"/>
      <c r="GQ32" s="959"/>
      <c r="GR32" s="959"/>
      <c r="GS32" s="959"/>
      <c r="GT32" s="959"/>
      <c r="GU32" s="959"/>
      <c r="GV32" s="959"/>
      <c r="GW32" s="959"/>
      <c r="GX32" s="959"/>
      <c r="GY32" s="959"/>
      <c r="GZ32" s="959"/>
      <c r="HA32" s="959"/>
      <c r="HB32" s="959"/>
      <c r="HC32" s="959"/>
      <c r="HD32" s="959"/>
      <c r="HE32" s="959"/>
      <c r="HF32" s="959"/>
      <c r="HG32" s="959"/>
      <c r="HH32" s="959"/>
      <c r="HI32" s="959"/>
      <c r="HJ32" s="959"/>
      <c r="HK32" s="959"/>
      <c r="HL32" s="959"/>
      <c r="HM32" s="959"/>
      <c r="HN32" s="959"/>
      <c r="HO32" s="959"/>
      <c r="HP32" s="959"/>
      <c r="HQ32" s="959"/>
      <c r="HR32" s="959"/>
      <c r="HS32" s="959"/>
      <c r="HT32" s="959"/>
      <c r="HU32" s="959"/>
      <c r="HV32" s="959"/>
      <c r="HW32" s="959"/>
      <c r="HX32" s="959"/>
      <c r="HY32" s="959"/>
      <c r="HZ32" s="959"/>
      <c r="IA32" s="959"/>
      <c r="IB32" s="959"/>
      <c r="IC32" s="959"/>
      <c r="ID32" s="959"/>
      <c r="IE32" s="959"/>
      <c r="IF32" s="959"/>
      <c r="IG32" s="959"/>
      <c r="IH32" s="959"/>
      <c r="II32" s="959"/>
      <c r="IJ32" s="959"/>
      <c r="IK32" s="959"/>
      <c r="IL32" s="959"/>
      <c r="IM32" s="959"/>
      <c r="IN32" s="959"/>
      <c r="IO32" s="959"/>
      <c r="IP32" s="959"/>
      <c r="IQ32" s="959"/>
      <c r="IR32" s="959"/>
      <c r="IS32" s="959"/>
      <c r="IT32" s="959"/>
      <c r="IU32" s="959"/>
    </row>
    <row r="33" spans="1:255">
      <c r="A33" s="959"/>
      <c r="B33" s="2237"/>
      <c r="D33" s="981"/>
      <c r="E33" s="981"/>
      <c r="F33" s="981"/>
      <c r="G33" s="981"/>
      <c r="H33" s="981"/>
      <c r="I33" s="981"/>
      <c r="J33" s="1071"/>
      <c r="M33" s="976"/>
    </row>
    <row r="34" spans="1:255">
      <c r="A34" s="959" t="s">
        <v>895</v>
      </c>
      <c r="B34" s="2238"/>
      <c r="C34" s="959"/>
      <c r="D34" s="959"/>
      <c r="E34" s="959"/>
      <c r="F34" s="959"/>
      <c r="G34" s="959"/>
      <c r="H34" s="959"/>
      <c r="I34" s="959"/>
      <c r="J34" s="1072"/>
      <c r="M34" s="976"/>
    </row>
    <row r="35" spans="1:255">
      <c r="A35" s="959"/>
      <c r="B35" s="2238"/>
      <c r="C35" s="959"/>
      <c r="D35" s="982"/>
      <c r="E35" s="982"/>
      <c r="F35" s="982"/>
      <c r="G35" s="982"/>
      <c r="H35" s="982"/>
      <c r="I35" s="982"/>
      <c r="J35" s="1073"/>
      <c r="M35" s="976"/>
    </row>
    <row r="36" spans="1:255">
      <c r="A36" s="959"/>
      <c r="B36" s="2241" t="s">
        <v>927</v>
      </c>
      <c r="D36" s="971" t="s">
        <v>949</v>
      </c>
      <c r="E36" s="971"/>
      <c r="F36" s="971"/>
      <c r="G36" s="971"/>
      <c r="H36" s="971"/>
      <c r="I36" s="971"/>
      <c r="J36" s="1071">
        <v>20</v>
      </c>
      <c r="M36" s="976"/>
    </row>
    <row r="37" spans="1:255">
      <c r="A37" s="959"/>
      <c r="B37" s="2241" t="s">
        <v>896</v>
      </c>
      <c r="D37" s="981" t="s">
        <v>944</v>
      </c>
      <c r="E37" s="981"/>
      <c r="F37" s="981"/>
      <c r="G37" s="981"/>
      <c r="H37" s="981"/>
      <c r="I37" s="981"/>
      <c r="J37" s="1071">
        <v>22</v>
      </c>
      <c r="M37" s="976"/>
    </row>
    <row r="38" spans="1:255">
      <c r="A38" s="959"/>
      <c r="B38" s="2241" t="s">
        <v>928</v>
      </c>
      <c r="D38" s="978" t="s">
        <v>1429</v>
      </c>
      <c r="E38" s="978"/>
      <c r="F38" s="978"/>
      <c r="G38" s="978"/>
      <c r="H38" s="978"/>
      <c r="I38" s="978"/>
      <c r="J38" s="1071">
        <v>24</v>
      </c>
      <c r="M38" s="976"/>
    </row>
    <row r="39" spans="1:255">
      <c r="A39" s="959"/>
      <c r="B39" s="2241" t="s">
        <v>929</v>
      </c>
      <c r="D39" s="978" t="s">
        <v>1430</v>
      </c>
      <c r="E39" s="978"/>
      <c r="F39" s="978"/>
      <c r="G39" s="978"/>
      <c r="H39" s="978"/>
      <c r="I39" s="978"/>
      <c r="J39" s="1071">
        <v>26</v>
      </c>
      <c r="M39" s="976"/>
    </row>
    <row r="40" spans="1:255">
      <c r="A40" s="959"/>
      <c r="B40" s="2236" t="s">
        <v>897</v>
      </c>
      <c r="D40" s="978" t="s">
        <v>1123</v>
      </c>
      <c r="E40" s="978"/>
      <c r="F40" s="978"/>
      <c r="G40" s="978"/>
      <c r="H40" s="978"/>
      <c r="I40" s="978"/>
      <c r="J40" s="1071">
        <v>28</v>
      </c>
      <c r="M40" s="976"/>
    </row>
    <row r="41" spans="1:255">
      <c r="A41" s="959"/>
      <c r="B41" s="2241" t="s">
        <v>898</v>
      </c>
      <c r="D41" s="978" t="s">
        <v>1076</v>
      </c>
      <c r="E41" s="978"/>
      <c r="F41" s="978"/>
      <c r="G41" s="978"/>
      <c r="H41" s="978"/>
      <c r="I41" s="978"/>
      <c r="J41" s="1071">
        <v>29</v>
      </c>
      <c r="M41" s="976"/>
    </row>
    <row r="42" spans="1:255">
      <c r="A42" s="959"/>
      <c r="B42" s="2241" t="s">
        <v>930</v>
      </c>
      <c r="D42" s="978" t="s">
        <v>1431</v>
      </c>
      <c r="E42" s="978"/>
      <c r="F42" s="978"/>
      <c r="G42" s="978"/>
      <c r="H42" s="978"/>
      <c r="I42" s="978"/>
      <c r="J42" s="1071">
        <v>31</v>
      </c>
      <c r="M42" s="976"/>
    </row>
    <row r="43" spans="1:255">
      <c r="A43" s="959"/>
      <c r="B43" s="2241" t="s">
        <v>931</v>
      </c>
      <c r="D43" s="978" t="s">
        <v>1432</v>
      </c>
      <c r="E43" s="978"/>
      <c r="F43" s="978"/>
      <c r="G43" s="978"/>
      <c r="H43" s="978"/>
      <c r="I43" s="978"/>
      <c r="J43" s="1071">
        <v>33</v>
      </c>
      <c r="M43" s="976"/>
    </row>
    <row r="44" spans="1:255">
      <c r="A44" s="959"/>
      <c r="B44" s="2236" t="s">
        <v>899</v>
      </c>
      <c r="D44" s="978" t="s">
        <v>950</v>
      </c>
      <c r="E44" s="978"/>
      <c r="F44" s="978"/>
      <c r="G44" s="978"/>
      <c r="H44" s="978"/>
      <c r="I44" s="978"/>
      <c r="J44" s="1071">
        <v>34</v>
      </c>
      <c r="M44" s="976"/>
    </row>
    <row r="45" spans="1:255">
      <c r="A45" s="959"/>
      <c r="B45" s="2236" t="s">
        <v>900</v>
      </c>
      <c r="D45" s="978" t="s">
        <v>946</v>
      </c>
      <c r="E45" s="978"/>
      <c r="F45" s="978"/>
      <c r="G45" s="978"/>
      <c r="H45" s="978"/>
      <c r="I45" s="978"/>
      <c r="J45" s="1071">
        <v>35</v>
      </c>
      <c r="M45" s="976"/>
    </row>
    <row r="46" spans="1:255">
      <c r="A46" s="959"/>
      <c r="B46" s="2236" t="s">
        <v>901</v>
      </c>
      <c r="D46" s="978" t="s">
        <v>947</v>
      </c>
      <c r="E46" s="978"/>
      <c r="F46" s="978"/>
      <c r="G46" s="978"/>
      <c r="H46" s="978"/>
      <c r="I46" s="978"/>
      <c r="J46" s="1071">
        <v>36</v>
      </c>
      <c r="M46" s="976"/>
    </row>
    <row r="47" spans="1:255">
      <c r="A47" s="959"/>
      <c r="B47" s="2236" t="s">
        <v>902</v>
      </c>
      <c r="D47" s="979" t="s">
        <v>948</v>
      </c>
      <c r="E47" s="979"/>
      <c r="F47" s="979"/>
      <c r="G47" s="979"/>
      <c r="H47" s="979"/>
      <c r="I47" s="979"/>
      <c r="J47" s="1071">
        <v>37</v>
      </c>
      <c r="K47" s="959"/>
      <c r="L47" s="959"/>
      <c r="M47" s="959"/>
      <c r="N47" s="959"/>
      <c r="O47" s="959"/>
      <c r="P47" s="959"/>
      <c r="Q47" s="959"/>
      <c r="R47" s="959"/>
      <c r="S47" s="959"/>
      <c r="T47" s="959"/>
      <c r="U47" s="959"/>
      <c r="V47" s="959"/>
      <c r="W47" s="959"/>
      <c r="X47" s="959"/>
      <c r="Y47" s="959"/>
      <c r="Z47" s="959"/>
      <c r="AA47" s="959"/>
      <c r="AB47" s="959"/>
      <c r="AC47" s="959"/>
      <c r="AD47" s="959"/>
      <c r="AE47" s="959"/>
      <c r="AF47" s="959"/>
      <c r="AG47" s="959"/>
      <c r="AH47" s="959"/>
      <c r="AI47" s="959"/>
      <c r="AJ47" s="959"/>
      <c r="AK47" s="959"/>
      <c r="AL47" s="959"/>
      <c r="AM47" s="959"/>
      <c r="AN47" s="959"/>
      <c r="AO47" s="959"/>
      <c r="AP47" s="959"/>
      <c r="AQ47" s="959"/>
      <c r="AR47" s="959"/>
      <c r="AS47" s="959"/>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c r="CA47" s="959"/>
      <c r="CB47" s="959"/>
      <c r="CC47" s="959"/>
      <c r="CD47" s="959"/>
      <c r="CE47" s="959"/>
      <c r="CF47" s="959"/>
      <c r="CG47" s="959"/>
      <c r="CH47" s="959"/>
      <c r="CI47" s="959"/>
      <c r="CJ47" s="959"/>
      <c r="CK47" s="959"/>
      <c r="CL47" s="959"/>
      <c r="CM47" s="959"/>
      <c r="CN47" s="959"/>
      <c r="CO47" s="959"/>
      <c r="CP47" s="959"/>
      <c r="CQ47" s="959"/>
      <c r="CR47" s="959"/>
      <c r="CS47" s="959"/>
      <c r="CT47" s="959"/>
      <c r="CU47" s="959"/>
      <c r="CV47" s="959"/>
      <c r="CW47" s="959"/>
      <c r="CX47" s="959"/>
      <c r="CY47" s="959"/>
      <c r="CZ47" s="959"/>
      <c r="DA47" s="959"/>
      <c r="DB47" s="959"/>
      <c r="DC47" s="959"/>
      <c r="DD47" s="959"/>
      <c r="DE47" s="959"/>
      <c r="DF47" s="959"/>
      <c r="DG47" s="959"/>
      <c r="DH47" s="959"/>
      <c r="DI47" s="959"/>
      <c r="DJ47" s="959"/>
      <c r="DK47" s="959"/>
      <c r="DL47" s="959"/>
      <c r="DM47" s="959"/>
      <c r="DN47" s="959"/>
      <c r="DO47" s="959"/>
      <c r="DP47" s="959"/>
      <c r="DQ47" s="959"/>
      <c r="DR47" s="959"/>
      <c r="DS47" s="959"/>
      <c r="DT47" s="959"/>
      <c r="DU47" s="959"/>
      <c r="DV47" s="959"/>
      <c r="DW47" s="959"/>
      <c r="DX47" s="959"/>
      <c r="DY47" s="959"/>
      <c r="DZ47" s="959"/>
      <c r="EA47" s="959"/>
      <c r="EB47" s="959"/>
      <c r="EC47" s="959"/>
      <c r="ED47" s="959"/>
      <c r="EE47" s="959"/>
      <c r="EF47" s="959"/>
      <c r="EG47" s="959"/>
      <c r="EH47" s="959"/>
      <c r="EI47" s="959"/>
      <c r="EJ47" s="959"/>
      <c r="EK47" s="959"/>
      <c r="EL47" s="959"/>
      <c r="EM47" s="959"/>
      <c r="EN47" s="959"/>
      <c r="EO47" s="959"/>
      <c r="EP47" s="959"/>
      <c r="EQ47" s="959"/>
      <c r="ER47" s="959"/>
      <c r="ES47" s="959"/>
      <c r="ET47" s="959"/>
      <c r="EU47" s="959"/>
      <c r="EV47" s="959"/>
      <c r="EW47" s="959"/>
      <c r="EX47" s="959"/>
      <c r="EY47" s="959"/>
      <c r="EZ47" s="959"/>
      <c r="FA47" s="959"/>
      <c r="FB47" s="959"/>
      <c r="FC47" s="959"/>
      <c r="FD47" s="959"/>
      <c r="FE47" s="959"/>
      <c r="FF47" s="959"/>
      <c r="FG47" s="959"/>
      <c r="FH47" s="959"/>
      <c r="FI47" s="959"/>
      <c r="FJ47" s="959"/>
      <c r="FK47" s="959"/>
      <c r="FL47" s="959"/>
      <c r="FM47" s="959"/>
      <c r="FN47" s="959"/>
      <c r="FO47" s="959"/>
      <c r="FP47" s="959"/>
      <c r="FQ47" s="959"/>
      <c r="FR47" s="959"/>
      <c r="FS47" s="959"/>
      <c r="FT47" s="959"/>
      <c r="FU47" s="959"/>
      <c r="FV47" s="959"/>
      <c r="FW47" s="959"/>
      <c r="FX47" s="959"/>
      <c r="FY47" s="959"/>
      <c r="FZ47" s="959"/>
      <c r="GA47" s="959"/>
      <c r="GB47" s="959"/>
      <c r="GC47" s="959"/>
      <c r="GD47" s="959"/>
      <c r="GE47" s="959"/>
      <c r="GF47" s="959"/>
      <c r="GG47" s="959"/>
      <c r="GH47" s="959"/>
      <c r="GI47" s="959"/>
      <c r="GJ47" s="959"/>
      <c r="GK47" s="959"/>
      <c r="GL47" s="959"/>
      <c r="GM47" s="959"/>
      <c r="GN47" s="959"/>
      <c r="GO47" s="959"/>
      <c r="GP47" s="959"/>
      <c r="GQ47" s="959"/>
      <c r="GR47" s="959"/>
      <c r="GS47" s="959"/>
      <c r="GT47" s="959"/>
      <c r="GU47" s="959"/>
      <c r="GV47" s="959"/>
      <c r="GW47" s="959"/>
      <c r="GX47" s="959"/>
      <c r="GY47" s="959"/>
      <c r="GZ47" s="959"/>
      <c r="HA47" s="959"/>
      <c r="HB47" s="959"/>
      <c r="HC47" s="959"/>
      <c r="HD47" s="959"/>
      <c r="HE47" s="959"/>
      <c r="HF47" s="959"/>
      <c r="HG47" s="959"/>
      <c r="HH47" s="959"/>
      <c r="HI47" s="959"/>
      <c r="HJ47" s="959"/>
      <c r="HK47" s="959"/>
      <c r="HL47" s="959"/>
      <c r="HM47" s="959"/>
      <c r="HN47" s="959"/>
      <c r="HO47" s="959"/>
      <c r="HP47" s="959"/>
      <c r="HQ47" s="959"/>
      <c r="HR47" s="959"/>
      <c r="HS47" s="959"/>
      <c r="HT47" s="959"/>
      <c r="HU47" s="959"/>
      <c r="HV47" s="959"/>
      <c r="HW47" s="959"/>
      <c r="HX47" s="959"/>
      <c r="HY47" s="959"/>
      <c r="HZ47" s="959"/>
      <c r="IA47" s="959"/>
      <c r="IB47" s="959"/>
      <c r="IC47" s="959"/>
      <c r="ID47" s="959"/>
      <c r="IE47" s="959"/>
      <c r="IF47" s="959"/>
      <c r="IG47" s="959"/>
      <c r="IH47" s="959"/>
      <c r="II47" s="959"/>
      <c r="IJ47" s="959"/>
      <c r="IK47" s="959"/>
      <c r="IL47" s="959"/>
      <c r="IM47" s="959"/>
      <c r="IN47" s="959"/>
      <c r="IO47" s="959"/>
      <c r="IP47" s="959"/>
      <c r="IQ47" s="959"/>
      <c r="IR47" s="959"/>
      <c r="IS47" s="959"/>
      <c r="IT47" s="959"/>
      <c r="IU47" s="959"/>
    </row>
    <row r="48" spans="1:255">
      <c r="A48" s="959"/>
      <c r="B48" s="2237"/>
      <c r="D48" s="981"/>
      <c r="E48" s="981"/>
      <c r="F48" s="981"/>
      <c r="G48" s="981"/>
      <c r="H48" s="981"/>
      <c r="I48" s="981"/>
      <c r="J48" s="1071"/>
      <c r="M48" s="976"/>
    </row>
    <row r="49" spans="1:13">
      <c r="A49" s="959" t="s">
        <v>903</v>
      </c>
      <c r="B49" s="2237"/>
      <c r="D49" s="981"/>
      <c r="E49" s="981"/>
      <c r="F49" s="981"/>
      <c r="G49" s="981"/>
      <c r="H49" s="981"/>
      <c r="I49" s="981"/>
      <c r="J49" s="1071"/>
      <c r="M49" s="976"/>
    </row>
    <row r="50" spans="1:13">
      <c r="A50" s="959"/>
      <c r="B50" s="2238"/>
      <c r="C50" s="959"/>
      <c r="D50" s="982"/>
      <c r="E50" s="982"/>
      <c r="F50" s="982"/>
      <c r="G50" s="982"/>
      <c r="H50" s="982"/>
      <c r="I50" s="982"/>
      <c r="J50" s="1072"/>
      <c r="M50" s="976"/>
    </row>
    <row r="51" spans="1:13">
      <c r="A51" s="959"/>
      <c r="B51" s="2236" t="s">
        <v>904</v>
      </c>
      <c r="D51" s="981" t="s">
        <v>951</v>
      </c>
      <c r="E51" s="981"/>
      <c r="F51" s="981"/>
      <c r="G51" s="981"/>
      <c r="H51" s="981"/>
      <c r="I51" s="981"/>
      <c r="J51" s="1071">
        <v>38</v>
      </c>
      <c r="M51" s="976"/>
    </row>
    <row r="52" spans="1:13">
      <c r="A52" s="959"/>
      <c r="B52" s="2236" t="s">
        <v>905</v>
      </c>
      <c r="D52" s="978" t="s">
        <v>952</v>
      </c>
      <c r="E52" s="978"/>
      <c r="F52" s="978"/>
      <c r="G52" s="978"/>
      <c r="H52" s="978"/>
      <c r="I52" s="978"/>
      <c r="J52" s="1071">
        <v>41</v>
      </c>
      <c r="M52" s="976"/>
    </row>
    <row r="53" spans="1:13">
      <c r="A53" s="959"/>
      <c r="B53" s="2236" t="s">
        <v>906</v>
      </c>
      <c r="D53" s="978" t="s">
        <v>953</v>
      </c>
      <c r="E53" s="978"/>
      <c r="F53" s="978"/>
      <c r="G53" s="978"/>
      <c r="H53" s="978"/>
      <c r="I53" s="978"/>
      <c r="J53" s="1071">
        <v>42</v>
      </c>
      <c r="M53" s="976"/>
    </row>
    <row r="54" spans="1:13">
      <c r="A54" s="959"/>
      <c r="B54" s="2236" t="s">
        <v>907</v>
      </c>
      <c r="D54" s="978" t="s">
        <v>956</v>
      </c>
      <c r="E54" s="978"/>
      <c r="F54" s="978"/>
      <c r="G54" s="978"/>
      <c r="H54" s="978"/>
      <c r="I54" s="978"/>
      <c r="J54" s="1071">
        <v>43</v>
      </c>
      <c r="M54" s="976"/>
    </row>
    <row r="55" spans="1:13">
      <c r="A55" s="959"/>
      <c r="B55" s="2236" t="s">
        <v>908</v>
      </c>
      <c r="D55" s="978" t="s">
        <v>954</v>
      </c>
      <c r="E55" s="978"/>
      <c r="F55" s="978"/>
      <c r="G55" s="978"/>
      <c r="H55" s="978"/>
      <c r="I55" s="978"/>
      <c r="J55" s="1071">
        <v>44</v>
      </c>
      <c r="K55" s="983"/>
      <c r="M55" s="976"/>
    </row>
    <row r="56" spans="1:13">
      <c r="A56" s="959"/>
      <c r="B56" s="2241" t="s">
        <v>909</v>
      </c>
      <c r="D56" s="978" t="s">
        <v>955</v>
      </c>
      <c r="E56" s="978"/>
      <c r="F56" s="978"/>
      <c r="G56" s="978"/>
      <c r="H56" s="978"/>
      <c r="I56" s="978"/>
      <c r="J56" s="1071">
        <v>45</v>
      </c>
      <c r="K56" s="969"/>
    </row>
    <row r="57" spans="1:13">
      <c r="A57" s="959"/>
      <c r="B57" s="2236" t="s">
        <v>910</v>
      </c>
      <c r="D57" s="979" t="s">
        <v>911</v>
      </c>
      <c r="E57" s="979"/>
      <c r="F57" s="979"/>
      <c r="G57" s="979"/>
      <c r="H57" s="979"/>
      <c r="I57" s="979"/>
      <c r="J57" s="1071">
        <v>46</v>
      </c>
      <c r="K57" s="969"/>
    </row>
    <row r="58" spans="1:13">
      <c r="A58" s="959"/>
      <c r="B58" s="2239" t="s">
        <v>932</v>
      </c>
      <c r="D58" s="971" t="s">
        <v>912</v>
      </c>
      <c r="E58" s="971"/>
      <c r="F58" s="971"/>
      <c r="G58" s="971"/>
      <c r="H58" s="971"/>
      <c r="I58" s="971"/>
      <c r="J58" s="1071">
        <v>47</v>
      </c>
      <c r="K58" s="969"/>
      <c r="M58" s="976"/>
    </row>
    <row r="59" spans="1:13">
      <c r="A59" s="959"/>
      <c r="B59" s="2240" t="s">
        <v>933</v>
      </c>
      <c r="D59" s="974" t="s">
        <v>913</v>
      </c>
      <c r="E59" s="974"/>
      <c r="F59" s="974"/>
      <c r="G59" s="974"/>
      <c r="H59" s="974"/>
      <c r="I59" s="974"/>
      <c r="J59" s="1071">
        <v>48</v>
      </c>
      <c r="K59" s="969"/>
      <c r="M59" s="976"/>
    </row>
    <row r="60" spans="1:13">
      <c r="A60" s="959"/>
      <c r="B60" s="2240" t="s">
        <v>934</v>
      </c>
      <c r="D60" s="984" t="s">
        <v>914</v>
      </c>
      <c r="E60" s="974"/>
      <c r="F60" s="984"/>
      <c r="G60" s="974"/>
      <c r="H60" s="974"/>
      <c r="I60" s="974"/>
      <c r="J60" s="1071">
        <v>50</v>
      </c>
      <c r="K60" s="969"/>
      <c r="M60" s="976"/>
    </row>
    <row r="61" spans="1:13">
      <c r="A61" s="959"/>
      <c r="B61" s="2240" t="s">
        <v>935</v>
      </c>
      <c r="D61" s="974" t="s">
        <v>915</v>
      </c>
      <c r="E61" s="974"/>
      <c r="F61" s="974"/>
      <c r="G61" s="974"/>
      <c r="H61" s="974"/>
      <c r="I61" s="974"/>
      <c r="J61" s="1071">
        <v>51</v>
      </c>
      <c r="K61" s="981"/>
      <c r="M61" s="976"/>
    </row>
    <row r="62" spans="1:13">
      <c r="A62" s="959"/>
      <c r="B62" s="2703" t="s">
        <v>936</v>
      </c>
      <c r="D62" s="974" t="s">
        <v>1433</v>
      </c>
      <c r="E62" s="974"/>
      <c r="F62" s="974"/>
      <c r="G62" s="974"/>
      <c r="H62" s="975"/>
      <c r="I62" s="974"/>
      <c r="J62" s="1071">
        <v>52</v>
      </c>
      <c r="K62" s="981"/>
      <c r="M62" s="976"/>
    </row>
    <row r="63" spans="1:13">
      <c r="A63" s="959"/>
      <c r="B63" s="2703" t="s">
        <v>937</v>
      </c>
      <c r="D63" s="974" t="s">
        <v>916</v>
      </c>
      <c r="E63" s="974"/>
      <c r="F63" s="974"/>
      <c r="G63" s="974"/>
      <c r="H63" s="975"/>
      <c r="I63" s="974"/>
      <c r="J63" s="1071">
        <v>53</v>
      </c>
      <c r="K63" s="981"/>
      <c r="M63" s="976"/>
    </row>
    <row r="64" spans="1:13">
      <c r="A64" s="959"/>
      <c r="B64" s="2241" t="s">
        <v>938</v>
      </c>
      <c r="D64" s="974" t="s">
        <v>1359</v>
      </c>
      <c r="E64" s="974"/>
      <c r="F64" s="974"/>
      <c r="G64" s="974"/>
      <c r="H64" s="975"/>
      <c r="I64" s="974"/>
      <c r="J64" s="1071">
        <v>57</v>
      </c>
      <c r="K64" s="981"/>
      <c r="M64" s="976"/>
    </row>
    <row r="65" spans="1:13" ht="12.95" customHeight="1">
      <c r="A65" s="959"/>
      <c r="B65" s="985"/>
      <c r="D65" s="986"/>
      <c r="E65" s="986"/>
      <c r="F65" s="986"/>
      <c r="G65" s="986"/>
      <c r="H65" s="986"/>
      <c r="I65" s="986"/>
      <c r="J65" s="973"/>
      <c r="K65" s="981"/>
      <c r="M65" s="976"/>
    </row>
    <row r="66" spans="1:13" ht="12.95" customHeight="1">
      <c r="A66" s="959"/>
      <c r="B66" s="985"/>
      <c r="D66" s="986"/>
      <c r="E66" s="986"/>
      <c r="F66" s="986"/>
      <c r="G66" s="986"/>
      <c r="H66" s="986"/>
      <c r="I66" s="986"/>
      <c r="J66" s="973"/>
      <c r="K66" s="981"/>
      <c r="M66" s="976"/>
    </row>
    <row r="67" spans="1:13" ht="12.95" customHeight="1">
      <c r="A67" s="959"/>
      <c r="B67" s="985"/>
      <c r="D67" s="986"/>
      <c r="E67" s="986"/>
      <c r="F67" s="986"/>
      <c r="G67" s="986"/>
      <c r="H67" s="986"/>
      <c r="I67" s="986"/>
      <c r="J67" s="973"/>
      <c r="K67" s="981"/>
      <c r="M67" s="976"/>
    </row>
    <row r="68" spans="1:13" ht="12.95" customHeight="1">
      <c r="A68" s="959"/>
      <c r="B68" s="985"/>
      <c r="D68" s="986"/>
      <c r="E68" s="986"/>
      <c r="F68" s="986"/>
      <c r="G68" s="986"/>
      <c r="H68" s="986"/>
      <c r="I68" s="986"/>
      <c r="J68" s="973"/>
      <c r="K68" s="981"/>
      <c r="M68" s="976"/>
    </row>
    <row r="69" spans="1:13" ht="12.95" customHeight="1">
      <c r="A69" s="959"/>
      <c r="B69" s="985"/>
      <c r="D69" s="986"/>
      <c r="E69" s="986"/>
      <c r="F69" s="986"/>
      <c r="G69" s="986"/>
      <c r="H69" s="986"/>
      <c r="I69" s="986"/>
      <c r="J69" s="973"/>
      <c r="K69" s="981"/>
      <c r="M69" s="976"/>
    </row>
    <row r="70" spans="1:13" ht="12.95" customHeight="1">
      <c r="A70" s="959"/>
      <c r="B70" s="985"/>
      <c r="D70" s="986"/>
      <c r="E70" s="986"/>
      <c r="F70" s="986"/>
      <c r="G70" s="986"/>
      <c r="H70" s="986"/>
      <c r="I70" s="986"/>
      <c r="J70" s="973"/>
      <c r="K70" s="981"/>
      <c r="M70" s="976"/>
    </row>
    <row r="71" spans="1:13" ht="12.95" customHeight="1">
      <c r="A71" s="959"/>
      <c r="B71" s="985"/>
      <c r="D71" s="986"/>
      <c r="E71" s="986"/>
      <c r="F71" s="986"/>
      <c r="G71" s="986"/>
      <c r="H71" s="986"/>
      <c r="I71" s="986"/>
      <c r="J71" s="973"/>
      <c r="K71" s="981"/>
      <c r="M71" s="976"/>
    </row>
    <row r="72" spans="1:13" ht="12.95" customHeight="1">
      <c r="A72" s="959"/>
      <c r="B72" s="985"/>
      <c r="D72" s="986"/>
      <c r="E72" s="986"/>
      <c r="F72" s="986"/>
      <c r="G72" s="986"/>
      <c r="H72" s="986"/>
      <c r="I72" s="986"/>
      <c r="J72" s="973"/>
      <c r="K72" s="981"/>
      <c r="M72" s="976"/>
    </row>
    <row r="73" spans="1:13" ht="12.95" customHeight="1">
      <c r="A73" s="959"/>
      <c r="B73" s="985"/>
      <c r="D73" s="986"/>
      <c r="E73" s="986"/>
      <c r="F73" s="986"/>
      <c r="G73" s="986"/>
      <c r="H73" s="986"/>
      <c r="I73" s="986"/>
      <c r="J73" s="973"/>
      <c r="K73" s="981"/>
      <c r="M73" s="976"/>
    </row>
    <row r="74" spans="1:13" ht="12.95" customHeight="1">
      <c r="A74" s="959"/>
      <c r="B74" s="985"/>
      <c r="D74" s="986"/>
      <c r="E74" s="986"/>
      <c r="F74" s="986"/>
      <c r="G74" s="986"/>
      <c r="H74" s="986"/>
      <c r="I74" s="986"/>
      <c r="J74" s="973"/>
      <c r="K74" s="981"/>
      <c r="M74" s="976"/>
    </row>
    <row r="75" spans="1:13" ht="12.95" customHeight="1">
      <c r="A75" s="959"/>
      <c r="B75" s="985"/>
      <c r="D75" s="986"/>
      <c r="E75" s="986"/>
      <c r="F75" s="986"/>
      <c r="G75" s="986"/>
      <c r="H75" s="986"/>
      <c r="I75" s="986"/>
      <c r="J75" s="973"/>
      <c r="K75" s="981"/>
      <c r="M75" s="976"/>
    </row>
    <row r="76" spans="1:13" ht="12.95" customHeight="1">
      <c r="A76" s="959"/>
      <c r="B76" s="985"/>
      <c r="D76" s="986"/>
      <c r="E76" s="986"/>
      <c r="F76" s="986"/>
      <c r="G76" s="986"/>
      <c r="H76" s="986"/>
      <c r="I76" s="986"/>
      <c r="J76" s="973"/>
      <c r="K76" s="981"/>
      <c r="M76" s="976"/>
    </row>
    <row r="77" spans="1:13" ht="12.95" customHeight="1">
      <c r="A77" s="959"/>
      <c r="B77" s="985"/>
      <c r="D77" s="986"/>
      <c r="E77" s="986"/>
      <c r="F77" s="986"/>
      <c r="G77" s="986"/>
      <c r="H77" s="986"/>
      <c r="I77" s="986"/>
      <c r="J77" s="973"/>
      <c r="K77" s="981"/>
      <c r="M77" s="976"/>
    </row>
    <row r="78" spans="1:13" ht="12.95" customHeight="1">
      <c r="A78" s="959"/>
      <c r="B78" s="985"/>
      <c r="D78" s="986"/>
      <c r="E78" s="986"/>
      <c r="F78" s="986"/>
      <c r="G78" s="986"/>
      <c r="H78" s="986"/>
      <c r="I78" s="986"/>
      <c r="J78" s="973"/>
      <c r="K78" s="981"/>
      <c r="M78" s="976"/>
    </row>
    <row r="79" spans="1:13" ht="12.95" customHeight="1">
      <c r="A79" s="959"/>
      <c r="B79" s="985"/>
      <c r="D79" s="986"/>
      <c r="E79" s="986"/>
      <c r="F79" s="986"/>
      <c r="G79" s="986"/>
      <c r="H79" s="986"/>
      <c r="I79" s="986"/>
      <c r="J79" s="973"/>
      <c r="K79" s="981"/>
      <c r="M79" s="976"/>
    </row>
    <row r="80" spans="1:13" ht="12.95" customHeight="1">
      <c r="A80" s="959"/>
      <c r="B80" s="985"/>
      <c r="D80" s="986"/>
      <c r="E80" s="986"/>
      <c r="F80" s="986"/>
      <c r="G80" s="986"/>
      <c r="H80" s="986"/>
      <c r="I80" s="986"/>
      <c r="J80" s="973"/>
      <c r="K80" s="981"/>
      <c r="M80" s="976"/>
    </row>
    <row r="81" spans="1:13" ht="12.95" customHeight="1">
      <c r="A81" s="959"/>
      <c r="B81" s="985"/>
      <c r="D81" s="986"/>
      <c r="E81" s="986"/>
      <c r="F81" s="986"/>
      <c r="G81" s="986"/>
      <c r="H81" s="986"/>
      <c r="I81" s="986"/>
      <c r="J81" s="973"/>
      <c r="K81" s="981"/>
      <c r="M81" s="976"/>
    </row>
    <row r="82" spans="1:13" ht="12.95" customHeight="1">
      <c r="A82" s="959"/>
      <c r="B82" s="985"/>
      <c r="D82" s="986"/>
      <c r="E82" s="986"/>
      <c r="F82" s="986"/>
      <c r="G82" s="986"/>
      <c r="H82" s="986"/>
      <c r="I82" s="986"/>
      <c r="J82" s="973"/>
      <c r="K82" s="981"/>
      <c r="M82" s="976"/>
    </row>
    <row r="83" spans="1:13" ht="12.95" customHeight="1">
      <c r="A83" s="959"/>
      <c r="B83" s="985"/>
      <c r="D83" s="986"/>
      <c r="E83" s="986"/>
      <c r="F83" s="986"/>
      <c r="G83" s="986"/>
      <c r="H83" s="986"/>
      <c r="I83" s="986"/>
      <c r="J83" s="973"/>
      <c r="K83" s="981"/>
      <c r="M83" s="976"/>
    </row>
    <row r="84" spans="1:13" ht="12.95" customHeight="1">
      <c r="A84" s="959"/>
      <c r="B84" s="985"/>
      <c r="D84" s="986"/>
      <c r="E84" s="986"/>
      <c r="F84" s="986"/>
      <c r="G84" s="986"/>
      <c r="H84" s="986"/>
      <c r="I84" s="986"/>
      <c r="J84" s="973"/>
      <c r="K84" s="981"/>
      <c r="M84" s="976"/>
    </row>
    <row r="85" spans="1:13" ht="12.95" customHeight="1">
      <c r="A85" s="959"/>
      <c r="B85" s="985"/>
      <c r="D85" s="986"/>
      <c r="E85" s="986"/>
      <c r="F85" s="986"/>
      <c r="G85" s="986"/>
      <c r="H85" s="986"/>
      <c r="I85" s="986"/>
      <c r="J85" s="973"/>
      <c r="K85" s="981"/>
      <c r="M85" s="976"/>
    </row>
    <row r="86" spans="1:13" ht="12.95" customHeight="1">
      <c r="A86" s="959"/>
      <c r="B86" s="985"/>
      <c r="D86" s="986"/>
      <c r="E86" s="986"/>
      <c r="F86" s="986"/>
      <c r="G86" s="986"/>
      <c r="H86" s="986"/>
      <c r="I86" s="986"/>
      <c r="J86" s="973"/>
      <c r="K86" s="981"/>
      <c r="M86" s="976"/>
    </row>
    <row r="87" spans="1:13" ht="12.95" customHeight="1">
      <c r="A87" s="959"/>
      <c r="B87" s="985"/>
      <c r="D87" s="986"/>
      <c r="E87" s="986"/>
      <c r="F87" s="986"/>
      <c r="G87" s="986"/>
      <c r="H87" s="986"/>
      <c r="I87" s="986"/>
      <c r="J87" s="973"/>
      <c r="K87" s="981"/>
      <c r="M87" s="976"/>
    </row>
    <row r="88" spans="1:13" ht="12.95" customHeight="1">
      <c r="A88" s="959"/>
      <c r="B88" s="985"/>
      <c r="D88" s="986"/>
      <c r="E88" s="986"/>
      <c r="F88" s="986"/>
      <c r="G88" s="986"/>
      <c r="H88" s="986"/>
      <c r="I88" s="986"/>
      <c r="J88" s="973"/>
      <c r="K88" s="981"/>
      <c r="M88" s="976"/>
    </row>
    <row r="89" spans="1:13" ht="12.95" customHeight="1">
      <c r="A89" s="959"/>
      <c r="B89" s="985"/>
      <c r="D89" s="986"/>
      <c r="E89" s="986"/>
      <c r="F89" s="986"/>
      <c r="G89" s="986"/>
      <c r="H89" s="986"/>
      <c r="I89" s="986"/>
      <c r="J89" s="973"/>
      <c r="K89" s="981"/>
      <c r="M89" s="976"/>
    </row>
    <row r="90" spans="1:13" ht="12.95" customHeight="1">
      <c r="A90" s="959"/>
      <c r="B90" s="985"/>
      <c r="D90" s="986"/>
      <c r="E90" s="986"/>
      <c r="F90" s="986"/>
      <c r="G90" s="986"/>
      <c r="H90" s="986"/>
      <c r="I90" s="986"/>
      <c r="J90" s="973"/>
      <c r="K90" s="981"/>
      <c r="M90" s="976"/>
    </row>
    <row r="91" spans="1:13" ht="12.95" customHeight="1">
      <c r="A91" s="959"/>
      <c r="B91" s="985"/>
      <c r="D91" s="986"/>
      <c r="E91" s="986"/>
      <c r="F91" s="986"/>
      <c r="G91" s="986"/>
      <c r="H91" s="986"/>
      <c r="I91" s="986"/>
      <c r="J91" s="973"/>
      <c r="K91" s="981"/>
      <c r="M91" s="976"/>
    </row>
    <row r="92" spans="1:13" ht="12.95" customHeight="1">
      <c r="A92" s="959"/>
      <c r="B92" s="985"/>
      <c r="D92" s="986"/>
      <c r="E92" s="986"/>
      <c r="F92" s="986"/>
      <c r="G92" s="986"/>
      <c r="H92" s="986"/>
      <c r="I92" s="986"/>
      <c r="J92" s="973"/>
      <c r="M92" s="976"/>
    </row>
    <row r="93" spans="1:13" ht="12.95" customHeight="1">
      <c r="A93" s="959"/>
      <c r="B93" s="985"/>
      <c r="D93" s="986"/>
      <c r="E93" s="986"/>
      <c r="F93" s="986"/>
      <c r="G93" s="986"/>
      <c r="H93" s="986"/>
      <c r="I93" s="986"/>
      <c r="J93" s="973"/>
      <c r="M93" s="976"/>
    </row>
    <row r="94" spans="1:13" ht="12.95" customHeight="1">
      <c r="A94" s="959"/>
      <c r="B94" s="985"/>
      <c r="D94" s="986"/>
      <c r="E94" s="986"/>
      <c r="F94" s="986"/>
      <c r="G94" s="986"/>
      <c r="H94" s="986"/>
      <c r="I94" s="986"/>
      <c r="J94" s="973"/>
      <c r="M94" s="976"/>
    </row>
    <row r="95" spans="1:13" ht="12.95" customHeight="1">
      <c r="A95" s="959"/>
      <c r="B95" s="985"/>
      <c r="D95" s="986"/>
      <c r="E95" s="986"/>
      <c r="F95" s="986"/>
      <c r="G95" s="986"/>
      <c r="H95" s="986"/>
      <c r="I95" s="986"/>
      <c r="J95" s="973"/>
      <c r="M95" s="976"/>
    </row>
    <row r="96" spans="1:13" ht="12.95" customHeight="1">
      <c r="A96" s="959"/>
      <c r="B96" s="985"/>
      <c r="D96" s="986"/>
      <c r="E96" s="986"/>
      <c r="F96" s="986"/>
      <c r="G96" s="986"/>
      <c r="H96" s="986"/>
      <c r="I96" s="986"/>
      <c r="J96" s="973"/>
      <c r="M96" s="976"/>
    </row>
    <row r="97" spans="1:13" ht="12.95" customHeight="1">
      <c r="A97" s="959"/>
      <c r="B97" s="985"/>
      <c r="D97" s="986"/>
      <c r="E97" s="986"/>
      <c r="F97" s="986"/>
      <c r="G97" s="986"/>
      <c r="H97" s="986"/>
      <c r="I97" s="986"/>
      <c r="J97" s="973"/>
      <c r="M97" s="976"/>
    </row>
    <row r="98" spans="1:13" ht="12.95" customHeight="1">
      <c r="A98" s="959"/>
      <c r="B98" s="985"/>
      <c r="D98" s="986"/>
      <c r="E98" s="986"/>
      <c r="F98" s="986"/>
      <c r="G98" s="986"/>
      <c r="H98" s="986"/>
      <c r="I98" s="986"/>
      <c r="J98" s="973"/>
      <c r="M98" s="976"/>
    </row>
    <row r="99" spans="1:13" ht="12.95" customHeight="1">
      <c r="A99" s="959"/>
      <c r="B99" s="985"/>
      <c r="D99" s="986"/>
      <c r="E99" s="986"/>
      <c r="F99" s="986"/>
      <c r="G99" s="986"/>
      <c r="H99" s="986"/>
      <c r="I99" s="986"/>
      <c r="J99" s="973"/>
      <c r="M99" s="976"/>
    </row>
    <row r="100" spans="1:13" ht="12.95" customHeight="1">
      <c r="A100" s="959"/>
      <c r="B100" s="985"/>
      <c r="D100" s="986"/>
      <c r="E100" s="986"/>
      <c r="F100" s="986"/>
      <c r="G100" s="986"/>
      <c r="H100" s="986"/>
      <c r="I100" s="986"/>
      <c r="J100" s="973"/>
      <c r="M100" s="976"/>
    </row>
    <row r="101" spans="1:13">
      <c r="A101" s="981"/>
      <c r="B101" s="987"/>
      <c r="C101" s="981"/>
      <c r="D101" s="981"/>
      <c r="E101" s="981"/>
      <c r="F101" s="981"/>
      <c r="G101" s="981"/>
      <c r="H101" s="981"/>
      <c r="I101" s="981"/>
      <c r="J101" s="989"/>
    </row>
    <row r="102" spans="1:13">
      <c r="B102" s="985"/>
      <c r="J102" s="988"/>
    </row>
    <row r="103" spans="1:13">
      <c r="B103" s="985"/>
      <c r="J103" s="988"/>
    </row>
    <row r="104" spans="1:13">
      <c r="B104" s="985"/>
    </row>
    <row r="105" spans="1:13">
      <c r="B105" s="985"/>
    </row>
    <row r="106" spans="1:13">
      <c r="B106" s="985"/>
    </row>
    <row r="107" spans="1:13">
      <c r="B107" s="985"/>
    </row>
    <row r="108" spans="1:13">
      <c r="B108" s="985"/>
    </row>
    <row r="109" spans="1:13">
      <c r="B109" s="985"/>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Exhibit I'!A1" display="Exhibit I"/>
    <hyperlink ref="B42" location="'Exhibit I State'!A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A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verticalCentered="1"/>
  <pageMargins left="1" right="0.5" top="0.45" bottom="0.35" header="0" footer="0"/>
  <pageSetup scale="62" orientation="landscape" r:id="rId2"/>
  <headerFooter alignWithMargins="0"/>
  <rowBreaks count="3" manualBreakCount="3">
    <brk id="103" max="9" man="1"/>
    <brk id="116" max="9" man="1"/>
    <brk id="130"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50"/>
  <sheetViews>
    <sheetView showGridLines="0" zoomScale="80" workbookViewId="0"/>
  </sheetViews>
  <sheetFormatPr defaultColWidth="8.88671875" defaultRowHeight="15"/>
  <cols>
    <col min="1" max="1" width="50.33203125" style="1596" customWidth="1"/>
    <col min="2" max="2" width="3.6640625" style="1021" customWidth="1"/>
    <col min="3" max="3" width="16.6640625" style="1021" customWidth="1"/>
    <col min="4" max="4" width="1.5546875" style="1021" customWidth="1"/>
    <col min="5" max="5" width="16.44140625" style="732" customWidth="1"/>
    <col min="6" max="6" width="3.109375" style="1600" customWidth="1"/>
    <col min="7" max="7" width="14.33203125" style="1600" customWidth="1"/>
    <col min="8" max="8" width="2.33203125" style="1600" customWidth="1"/>
    <col min="9" max="9" width="14.33203125" style="1600" customWidth="1"/>
    <col min="10" max="10" width="1.109375" style="1600" customWidth="1"/>
    <col min="11" max="11" width="14.33203125" style="1600" customWidth="1"/>
    <col min="12" max="12" width="1.33203125" style="1600" customWidth="1"/>
    <col min="13" max="13" width="16.109375" style="1600" customWidth="1"/>
    <col min="14" max="14" width="1.5546875" style="1021" customWidth="1"/>
    <col min="15" max="15" width="12.5546875" style="1021" customWidth="1"/>
    <col min="16" max="16" width="11.44140625" style="1021" customWidth="1"/>
    <col min="17" max="17" width="1.88671875" style="1021" customWidth="1"/>
    <col min="18" max="18" width="11.6640625" style="1021" customWidth="1"/>
    <col min="19" max="19" width="2.109375" style="1021" customWidth="1"/>
    <col min="20" max="20" width="11.44140625" style="1021" customWidth="1"/>
    <col min="21" max="21" width="0.5546875" style="1021" customWidth="1"/>
    <col min="22" max="22" width="2.33203125" style="1021" customWidth="1"/>
    <col min="23" max="23" width="10.5546875" style="1021" customWidth="1"/>
    <col min="24" max="24" width="11.109375" style="1021" customWidth="1"/>
    <col min="25" max="25" width="2.21875" style="1021" customWidth="1"/>
    <col min="26" max="26" width="11.109375" style="1021" customWidth="1"/>
    <col min="27" max="27" width="2.109375" style="1021" customWidth="1"/>
    <col min="28" max="28" width="12.44140625" style="1021" customWidth="1"/>
    <col min="29" max="33" width="8.88671875" style="1021"/>
    <col min="34" max="34" width="8.88671875" style="1600"/>
    <col min="35" max="16384" width="8.88671875" style="1596"/>
  </cols>
  <sheetData>
    <row r="1" spans="1:28">
      <c r="A1" s="1052" t="s">
        <v>1064</v>
      </c>
      <c r="B1" s="376"/>
      <c r="C1" s="376"/>
      <c r="D1" s="376"/>
      <c r="E1" s="726"/>
      <c r="F1" s="377"/>
      <c r="G1" s="377"/>
      <c r="H1" s="377"/>
      <c r="I1" s="377"/>
      <c r="J1" s="377"/>
      <c r="K1" s="377"/>
      <c r="L1" s="377"/>
      <c r="M1" s="377"/>
      <c r="N1" s="377"/>
      <c r="O1" s="376"/>
      <c r="P1" s="376"/>
      <c r="Q1" s="376"/>
      <c r="R1" s="376"/>
      <c r="S1" s="376"/>
      <c r="T1" s="376"/>
      <c r="U1" s="376"/>
      <c r="V1" s="376"/>
      <c r="W1" s="376"/>
      <c r="X1" s="376"/>
      <c r="Y1" s="376"/>
      <c r="Z1" s="376"/>
      <c r="AA1" s="376"/>
      <c r="AB1" s="376"/>
    </row>
    <row r="2" spans="1:28" ht="17.25" customHeight="1">
      <c r="A2" s="378"/>
      <c r="B2" s="376"/>
      <c r="C2" s="376"/>
      <c r="D2" s="376"/>
      <c r="E2" s="726"/>
      <c r="F2" s="377"/>
      <c r="G2" s="380"/>
      <c r="H2" s="380"/>
      <c r="I2" s="380"/>
      <c r="J2" s="380"/>
      <c r="K2" s="380"/>
      <c r="L2" s="377"/>
      <c r="M2" s="377"/>
      <c r="N2" s="377"/>
      <c r="O2" s="376"/>
      <c r="P2" s="376"/>
      <c r="Q2" s="376"/>
      <c r="R2" s="376"/>
      <c r="S2" s="376"/>
      <c r="T2" s="376"/>
      <c r="U2" s="376"/>
      <c r="V2" s="376"/>
      <c r="W2" s="376"/>
      <c r="X2" s="376"/>
      <c r="Y2" s="376"/>
      <c r="Z2" s="376"/>
      <c r="AA2" s="376"/>
      <c r="AB2" s="376"/>
    </row>
    <row r="3" spans="1:28" ht="21" customHeight="1">
      <c r="A3" s="381" t="s">
        <v>0</v>
      </c>
      <c r="B3" s="346"/>
      <c r="C3" s="346"/>
      <c r="D3" s="346"/>
      <c r="E3" s="729"/>
      <c r="F3" s="332"/>
      <c r="G3" s="332"/>
      <c r="H3" s="332"/>
      <c r="I3" s="332"/>
      <c r="J3" s="332"/>
      <c r="K3" s="332"/>
      <c r="L3" s="332"/>
      <c r="M3" s="1452"/>
      <c r="N3" s="332"/>
      <c r="O3" s="1452" t="s">
        <v>85</v>
      </c>
      <c r="P3" s="346"/>
      <c r="Q3" s="346"/>
      <c r="R3" s="346"/>
      <c r="S3" s="346"/>
      <c r="T3" s="346"/>
      <c r="U3" s="346"/>
      <c r="V3" s="346"/>
      <c r="W3" s="346"/>
      <c r="X3" s="346"/>
      <c r="Y3" s="346"/>
      <c r="Z3" s="346"/>
      <c r="AA3" s="346"/>
      <c r="AB3" s="382"/>
    </row>
    <row r="4" spans="1:28" ht="21.75" customHeight="1">
      <c r="A4" s="381" t="s">
        <v>84</v>
      </c>
      <c r="B4" s="346"/>
      <c r="C4" s="346"/>
      <c r="D4" s="346"/>
      <c r="E4" s="729"/>
      <c r="F4" s="332"/>
      <c r="G4" s="332"/>
      <c r="H4" s="332"/>
      <c r="I4" s="332"/>
      <c r="J4" s="332"/>
      <c r="K4" s="332"/>
      <c r="L4" s="332"/>
      <c r="M4" s="1453"/>
      <c r="N4" s="332"/>
      <c r="O4" s="1453"/>
      <c r="P4" s="346"/>
      <c r="Q4" s="346"/>
      <c r="R4" s="346"/>
      <c r="S4" s="346"/>
      <c r="T4" s="346"/>
      <c r="U4" s="346"/>
      <c r="V4" s="346"/>
      <c r="W4" s="346"/>
      <c r="X4" s="346"/>
      <c r="Y4" s="346"/>
      <c r="Z4" s="346"/>
      <c r="AA4" s="346"/>
      <c r="AB4" s="346"/>
    </row>
    <row r="5" spans="1:28" ht="21.75" customHeight="1">
      <c r="A5" s="3744" t="str">
        <f>'Exh D-Governmental  '!A5:E5</f>
        <v>FISCAL YEAR 2018-2019</v>
      </c>
      <c r="B5" s="3745"/>
      <c r="C5" s="3745"/>
      <c r="D5" s="3745"/>
      <c r="E5" s="3745"/>
      <c r="F5" s="332"/>
      <c r="G5" s="332"/>
      <c r="H5" s="332"/>
      <c r="I5" s="332"/>
      <c r="J5" s="332"/>
      <c r="K5" s="332"/>
      <c r="L5" s="332"/>
      <c r="M5" s="332"/>
      <c r="N5" s="332"/>
      <c r="O5" s="346"/>
      <c r="P5" s="346"/>
      <c r="Q5" s="346"/>
      <c r="R5" s="346"/>
      <c r="S5" s="346"/>
      <c r="T5" s="346"/>
      <c r="U5" s="346"/>
      <c r="V5" s="346"/>
      <c r="W5" s="346"/>
      <c r="X5" s="346"/>
      <c r="Y5" s="346"/>
      <c r="Z5" s="346"/>
      <c r="AA5" s="346"/>
      <c r="AB5" s="346"/>
    </row>
    <row r="6" spans="1:28" ht="17.25" customHeight="1">
      <c r="A6" s="2365" t="str">
        <f>+'Exh D-Governmental  '!A6</f>
        <v>FOR ONE MONTH ENDED APRIL 30, 2018</v>
      </c>
      <c r="B6" s="346"/>
      <c r="C6" s="346"/>
      <c r="D6" s="346"/>
      <c r="E6" s="729"/>
      <c r="F6" s="332"/>
      <c r="G6" s="332"/>
      <c r="H6" s="332"/>
      <c r="I6" s="332"/>
      <c r="J6" s="332"/>
      <c r="K6" s="332"/>
      <c r="L6" s="332"/>
      <c r="M6" s="332"/>
      <c r="N6" s="332"/>
      <c r="O6" s="346"/>
      <c r="P6" s="346"/>
      <c r="Q6" s="346"/>
      <c r="R6" s="346"/>
      <c r="S6" s="346"/>
      <c r="T6" s="346"/>
      <c r="U6" s="346"/>
      <c r="V6" s="346"/>
      <c r="W6" s="346"/>
      <c r="X6" s="346"/>
      <c r="Y6" s="346"/>
      <c r="Z6" s="346"/>
      <c r="AA6" s="346"/>
      <c r="AB6" s="346"/>
    </row>
    <row r="7" spans="1:28" ht="18">
      <c r="A7" s="381" t="s">
        <v>958</v>
      </c>
      <c r="B7" s="346"/>
      <c r="C7" s="346"/>
      <c r="D7" s="346"/>
      <c r="E7" s="729"/>
      <c r="F7" s="332"/>
      <c r="G7" s="332"/>
      <c r="H7" s="332"/>
      <c r="I7" s="332"/>
      <c r="J7" s="332"/>
      <c r="K7" s="332"/>
      <c r="L7" s="332"/>
      <c r="M7" s="332"/>
      <c r="N7" s="332"/>
      <c r="O7" s="346"/>
      <c r="P7" s="346"/>
      <c r="Q7" s="346"/>
      <c r="R7" s="346"/>
      <c r="S7" s="346"/>
      <c r="T7" s="346"/>
      <c r="U7" s="346"/>
      <c r="V7" s="346"/>
      <c r="W7" s="346"/>
      <c r="X7" s="346"/>
      <c r="Y7" s="346"/>
      <c r="Z7" s="346"/>
      <c r="AA7" s="346"/>
      <c r="AB7" s="346"/>
    </row>
    <row r="8" spans="1:28" ht="15" customHeight="1">
      <c r="A8" s="383"/>
      <c r="B8" s="346"/>
      <c r="C8" s="346"/>
      <c r="D8" s="346"/>
      <c r="E8" s="729"/>
      <c r="F8" s="332"/>
      <c r="G8" s="332"/>
      <c r="H8" s="332"/>
      <c r="I8" s="332"/>
      <c r="J8" s="332"/>
      <c r="K8" s="332"/>
      <c r="L8" s="332"/>
      <c r="M8" s="332"/>
      <c r="N8" s="332"/>
      <c r="O8" s="346"/>
      <c r="P8" s="346"/>
      <c r="Q8" s="346"/>
      <c r="R8" s="346"/>
      <c r="S8" s="346"/>
      <c r="T8" s="346"/>
      <c r="U8" s="346"/>
      <c r="V8" s="346"/>
      <c r="W8" s="346"/>
      <c r="X8" s="346"/>
      <c r="Y8" s="346"/>
      <c r="Z8" s="346"/>
      <c r="AA8" s="346"/>
      <c r="AB8" s="346"/>
    </row>
    <row r="9" spans="1:28">
      <c r="A9" s="340"/>
      <c r="B9" s="346"/>
      <c r="C9" s="346"/>
      <c r="D9" s="346"/>
      <c r="E9" s="729"/>
      <c r="F9" s="332"/>
      <c r="G9" s="332"/>
      <c r="H9" s="332"/>
      <c r="I9" s="332"/>
      <c r="J9" s="332"/>
      <c r="K9" s="332"/>
      <c r="L9" s="332"/>
      <c r="M9" s="332"/>
      <c r="N9" s="332"/>
      <c r="O9" s="346"/>
      <c r="P9" s="346"/>
      <c r="Q9" s="346"/>
      <c r="R9" s="346"/>
      <c r="S9" s="346"/>
      <c r="T9" s="346"/>
      <c r="U9" s="346"/>
      <c r="V9" s="346"/>
      <c r="W9" s="346"/>
      <c r="X9" s="346"/>
      <c r="Y9" s="346"/>
      <c r="Z9" s="346"/>
      <c r="AA9" s="346"/>
      <c r="AB9" s="346"/>
    </row>
    <row r="10" spans="1:28">
      <c r="A10" s="340"/>
      <c r="B10" s="346"/>
      <c r="C10" s="346"/>
      <c r="D10" s="346"/>
      <c r="E10" s="728"/>
      <c r="F10" s="338"/>
      <c r="G10" s="338"/>
      <c r="H10" s="338"/>
      <c r="I10" s="338"/>
      <c r="J10" s="338"/>
      <c r="K10" s="338"/>
      <c r="L10" s="338"/>
      <c r="M10" s="338"/>
      <c r="N10" s="332"/>
      <c r="O10" s="346"/>
      <c r="P10" s="346"/>
      <c r="Q10" s="346"/>
      <c r="R10" s="346"/>
      <c r="S10" s="346"/>
      <c r="T10" s="346"/>
      <c r="U10" s="346"/>
      <c r="V10" s="346"/>
      <c r="W10" s="346"/>
      <c r="X10" s="346"/>
      <c r="Y10" s="346"/>
      <c r="Z10" s="346"/>
      <c r="AA10" s="346"/>
      <c r="AB10" s="346"/>
    </row>
    <row r="11" spans="1:28" ht="15.75">
      <c r="A11" s="1212"/>
      <c r="C11" s="1983"/>
      <c r="D11" s="1983"/>
      <c r="E11" s="2013"/>
      <c r="F11" s="1988"/>
      <c r="G11" s="2301" t="s">
        <v>1248</v>
      </c>
      <c r="H11" s="2708"/>
      <c r="I11" s="2301"/>
      <c r="J11" s="2708"/>
      <c r="K11" s="2708"/>
      <c r="L11" s="1988"/>
      <c r="M11" s="1988"/>
      <c r="N11" s="1991"/>
      <c r="O11" s="1982"/>
      <c r="P11" s="384"/>
      <c r="Q11" s="384"/>
      <c r="R11" s="384"/>
      <c r="S11" s="384"/>
      <c r="T11" s="384"/>
      <c r="U11" s="384"/>
      <c r="V11" s="341"/>
      <c r="W11" s="384"/>
      <c r="X11" s="385"/>
      <c r="Y11" s="384"/>
      <c r="Z11" s="384"/>
      <c r="AA11" s="384"/>
      <c r="AB11" s="384"/>
    </row>
    <row r="12" spans="1:28" ht="15.75">
      <c r="A12" s="1212"/>
      <c r="E12" s="733"/>
      <c r="F12" s="386"/>
      <c r="G12" s="387"/>
      <c r="H12" s="387"/>
      <c r="I12" s="387"/>
      <c r="J12" s="387"/>
      <c r="K12" s="387"/>
      <c r="L12" s="386"/>
      <c r="M12" s="386" t="s">
        <v>86</v>
      </c>
      <c r="N12" s="341"/>
      <c r="O12" s="386" t="s">
        <v>86</v>
      </c>
      <c r="P12" s="384"/>
      <c r="Q12" s="384"/>
      <c r="R12" s="384"/>
      <c r="S12" s="384"/>
      <c r="T12" s="384"/>
      <c r="U12" s="384"/>
      <c r="V12" s="341"/>
      <c r="W12" s="384"/>
      <c r="X12" s="385"/>
      <c r="Y12" s="384"/>
      <c r="Z12" s="384"/>
      <c r="AA12" s="384"/>
      <c r="AB12" s="384"/>
    </row>
    <row r="13" spans="1:28" ht="15.75">
      <c r="A13" s="1212"/>
      <c r="E13" s="733"/>
      <c r="F13" s="386"/>
      <c r="G13" s="387"/>
      <c r="H13" s="387"/>
      <c r="I13" s="387"/>
      <c r="J13" s="387"/>
      <c r="K13" s="387"/>
      <c r="L13" s="386"/>
      <c r="M13" s="389" t="s">
        <v>965</v>
      </c>
      <c r="N13" s="341"/>
      <c r="O13" s="389" t="s">
        <v>965</v>
      </c>
      <c r="P13" s="384"/>
      <c r="Q13" s="384"/>
      <c r="R13" s="384"/>
      <c r="S13" s="384"/>
      <c r="T13" s="384"/>
      <c r="U13" s="384"/>
      <c r="V13" s="341"/>
      <c r="W13" s="384"/>
      <c r="X13" s="385"/>
      <c r="Y13" s="384"/>
      <c r="Z13" s="384"/>
      <c r="AA13" s="384"/>
      <c r="AB13" s="384"/>
    </row>
    <row r="14" spans="1:28" ht="15.75">
      <c r="A14" s="1212"/>
      <c r="B14" s="341"/>
      <c r="C14" s="344" t="s">
        <v>1190</v>
      </c>
      <c r="D14" s="341"/>
      <c r="E14" s="343" t="s">
        <v>1191</v>
      </c>
      <c r="F14" s="388"/>
      <c r="G14" s="388"/>
      <c r="H14" s="388"/>
      <c r="I14" s="388"/>
      <c r="J14" s="388"/>
      <c r="K14" s="388"/>
      <c r="L14" s="388"/>
      <c r="M14" s="343" t="s">
        <v>87</v>
      </c>
      <c r="N14" s="341"/>
      <c r="O14" s="343" t="s">
        <v>87</v>
      </c>
      <c r="P14" s="341"/>
      <c r="Q14" s="341"/>
      <c r="R14" s="341"/>
      <c r="S14" s="341"/>
      <c r="T14" s="390"/>
      <c r="U14" s="391"/>
      <c r="V14" s="341"/>
      <c r="W14" s="341"/>
      <c r="X14" s="341"/>
      <c r="Y14" s="341"/>
      <c r="Z14" s="341"/>
      <c r="AA14" s="341"/>
      <c r="AB14" s="390"/>
    </row>
    <row r="15" spans="1:28" ht="15.75">
      <c r="A15" s="1212"/>
      <c r="B15" s="392"/>
      <c r="C15" s="343" t="s">
        <v>1232</v>
      </c>
      <c r="D15" s="392"/>
      <c r="E15" s="343" t="s">
        <v>1232</v>
      </c>
      <c r="F15" s="342"/>
      <c r="G15" s="342"/>
      <c r="H15" s="342"/>
      <c r="I15" s="342"/>
      <c r="J15" s="342"/>
      <c r="K15" s="342"/>
      <c r="L15" s="342"/>
      <c r="M15" s="343" t="s">
        <v>1190</v>
      </c>
      <c r="N15" s="341"/>
      <c r="O15" s="343" t="s">
        <v>1191</v>
      </c>
      <c r="P15" s="391"/>
      <c r="Q15" s="341"/>
      <c r="R15" s="341"/>
      <c r="S15" s="341"/>
      <c r="T15" s="390"/>
      <c r="U15" s="391"/>
      <c r="V15" s="341"/>
      <c r="W15" s="390"/>
      <c r="X15" s="391"/>
      <c r="Y15" s="341"/>
      <c r="Z15" s="341"/>
      <c r="AA15" s="341"/>
      <c r="AB15" s="390"/>
    </row>
    <row r="16" spans="1:28" ht="15.75">
      <c r="A16" s="1212"/>
      <c r="B16" s="391"/>
      <c r="C16" s="1990" t="s">
        <v>1233</v>
      </c>
      <c r="D16" s="391"/>
      <c r="E16" s="343" t="s">
        <v>1488</v>
      </c>
      <c r="F16" s="342"/>
      <c r="G16" s="344" t="s">
        <v>86</v>
      </c>
      <c r="H16" s="344"/>
      <c r="I16" s="2710" t="s">
        <v>1390</v>
      </c>
      <c r="J16" s="344"/>
      <c r="K16" s="2710" t="s">
        <v>885</v>
      </c>
      <c r="L16" s="342"/>
      <c r="M16" s="343" t="s">
        <v>88</v>
      </c>
      <c r="N16" s="341"/>
      <c r="O16" s="1990" t="s">
        <v>88</v>
      </c>
      <c r="P16" s="391"/>
      <c r="Q16" s="341"/>
      <c r="R16" s="390"/>
      <c r="S16" s="341"/>
      <c r="T16" s="390"/>
      <c r="U16" s="391"/>
      <c r="V16" s="341"/>
      <c r="W16" s="391"/>
      <c r="X16" s="391"/>
      <c r="Y16" s="341"/>
      <c r="Z16" s="390"/>
      <c r="AA16" s="341"/>
      <c r="AB16" s="390"/>
    </row>
    <row r="17" spans="1:28">
      <c r="A17" s="345"/>
      <c r="B17" s="346"/>
      <c r="C17" s="346"/>
      <c r="D17" s="346"/>
      <c r="E17" s="347"/>
      <c r="F17" s="332"/>
      <c r="G17" s="347"/>
      <c r="H17" s="346"/>
      <c r="I17" s="346"/>
      <c r="J17" s="346"/>
      <c r="K17" s="346"/>
      <c r="L17" s="332"/>
      <c r="M17" s="347"/>
      <c r="N17" s="346"/>
      <c r="O17" s="346"/>
      <c r="P17" s="346"/>
      <c r="Q17" s="346"/>
      <c r="R17" s="346"/>
      <c r="S17" s="346"/>
      <c r="T17" s="346"/>
      <c r="U17" s="346"/>
      <c r="V17" s="346"/>
      <c r="W17" s="346"/>
      <c r="X17" s="346"/>
      <c r="Y17" s="346"/>
      <c r="Z17" s="346"/>
      <c r="AA17" s="346"/>
      <c r="AB17" s="346"/>
    </row>
    <row r="18" spans="1:28" ht="15.75">
      <c r="A18" s="216" t="s">
        <v>14</v>
      </c>
      <c r="B18" s="1589"/>
      <c r="C18" s="1589"/>
      <c r="D18" s="1589"/>
      <c r="E18" s="1115"/>
      <c r="F18" s="1115"/>
      <c r="G18" s="1115"/>
      <c r="H18" s="1115"/>
      <c r="I18" s="1115"/>
      <c r="J18" s="1115"/>
      <c r="K18" s="1115"/>
      <c r="L18" s="1115"/>
      <c r="M18" s="1115"/>
      <c r="N18" s="1589"/>
      <c r="O18" s="1589"/>
      <c r="P18" s="1589"/>
      <c r="Q18" s="1589"/>
      <c r="R18" s="1589"/>
      <c r="S18" s="1589"/>
      <c r="T18" s="1589"/>
      <c r="U18" s="1589"/>
      <c r="V18" s="1589"/>
      <c r="W18" s="1589"/>
      <c r="X18" s="1589"/>
      <c r="Y18" s="1589"/>
      <c r="Z18" s="1589"/>
      <c r="AA18" s="1589"/>
      <c r="AB18" s="1589"/>
    </row>
    <row r="19" spans="1:28">
      <c r="A19" s="1443" t="s">
        <v>89</v>
      </c>
      <c r="B19" s="1590"/>
      <c r="C19" s="1590"/>
      <c r="D19" s="1590"/>
      <c r="E19" s="1115"/>
      <c r="F19" s="1115"/>
      <c r="G19" s="1115"/>
      <c r="H19" s="1115"/>
      <c r="I19" s="1115"/>
      <c r="J19" s="1115"/>
      <c r="K19" s="1115"/>
      <c r="L19" s="1590"/>
      <c r="M19" s="1115"/>
      <c r="N19" s="1589"/>
      <c r="O19" s="2522"/>
      <c r="P19" s="1589"/>
      <c r="Q19" s="1589"/>
      <c r="R19" s="1589"/>
      <c r="S19" s="1589"/>
      <c r="T19" s="1589"/>
      <c r="U19" s="1589"/>
      <c r="V19" s="1589"/>
      <c r="W19" s="1589"/>
      <c r="X19" s="1589"/>
      <c r="Y19" s="1589"/>
      <c r="Z19" s="1589"/>
      <c r="AA19" s="1589"/>
      <c r="AB19" s="1589"/>
    </row>
    <row r="20" spans="1:28">
      <c r="A20" s="1443" t="s">
        <v>90</v>
      </c>
      <c r="B20" s="1590"/>
      <c r="C20" s="1728">
        <f>'Exh D Special Revenue State Fed'!C20+'Exh D Special Revenue State Fed'!N20</f>
        <v>0</v>
      </c>
      <c r="D20" s="3219"/>
      <c r="E20" s="1728">
        <f>'Exh D Special Revenue State Fed'!E20+'Exh D Special Revenue State Fed'!P20</f>
        <v>0</v>
      </c>
      <c r="F20" s="1118"/>
      <c r="G20" s="1606">
        <f>+'Exh D Special Revenue State Fed'!G20</f>
        <v>0</v>
      </c>
      <c r="H20" s="1606"/>
      <c r="I20" s="1606">
        <v>0</v>
      </c>
      <c r="J20" s="1606"/>
      <c r="K20" s="1606">
        <f t="shared" ref="K20:K26" si="0">+G20+I20</f>
        <v>0</v>
      </c>
      <c r="L20" s="1118"/>
      <c r="M20" s="1116">
        <f>ROUND(SUM(K20)-SUM(C20),1)</f>
        <v>0</v>
      </c>
      <c r="N20" s="1589"/>
      <c r="O20" s="1116">
        <f>ROUND(SUM(K20)-SUM(E20),1)</f>
        <v>0</v>
      </c>
      <c r="P20" s="1589"/>
      <c r="Q20" s="1589"/>
      <c r="R20" s="1589"/>
      <c r="S20" s="1589"/>
      <c r="T20" s="1589"/>
      <c r="U20" s="1589"/>
      <c r="V20" s="1589"/>
      <c r="W20" s="1589"/>
      <c r="X20" s="1589"/>
      <c r="Y20" s="1589"/>
      <c r="Z20" s="1589"/>
      <c r="AA20" s="1589"/>
      <c r="AB20" s="1589"/>
    </row>
    <row r="21" spans="1:28">
      <c r="A21" s="1443" t="s">
        <v>91</v>
      </c>
      <c r="B21" s="1589"/>
      <c r="C21" s="1207">
        <f>'Exh D Special Revenue State Fed'!C21+'Exh D Special Revenue State Fed'!N21</f>
        <v>183</v>
      </c>
      <c r="D21" s="3220"/>
      <c r="E21" s="2502">
        <f>'Exh D Special Revenue State Fed'!E21+'Exh D Special Revenue State Fed'!P21</f>
        <v>0</v>
      </c>
      <c r="F21" s="1042"/>
      <c r="G21" s="1042">
        <f>+'Exh D Special Revenue State Fed'!G21</f>
        <v>186.4</v>
      </c>
      <c r="H21" s="2502"/>
      <c r="I21" s="2502">
        <v>0</v>
      </c>
      <c r="J21" s="2502"/>
      <c r="K21" s="2502">
        <f t="shared" si="0"/>
        <v>186.4</v>
      </c>
      <c r="L21" s="1042"/>
      <c r="M21" s="2502">
        <f>ROUND(SUM(K21)-SUM(C21),1)</f>
        <v>3.4</v>
      </c>
      <c r="N21" s="1608"/>
      <c r="O21" s="2502">
        <v>0</v>
      </c>
      <c r="P21" s="1589"/>
      <c r="Q21" s="1589"/>
      <c r="R21" s="1589"/>
      <c r="S21" s="1589"/>
      <c r="T21" s="1589"/>
      <c r="U21" s="1589"/>
      <c r="V21" s="1589"/>
      <c r="W21" s="1589"/>
      <c r="X21" s="1589"/>
      <c r="Y21" s="1589"/>
      <c r="Z21" s="1589"/>
      <c r="AA21" s="1589"/>
      <c r="AB21" s="1589"/>
    </row>
    <row r="22" spans="1:28">
      <c r="A22" s="1443" t="s">
        <v>92</v>
      </c>
      <c r="B22" s="1590"/>
      <c r="C22" s="1207">
        <f>'Exh D Special Revenue State Fed'!C22+'Exh D Special Revenue State Fed'!N22</f>
        <v>158</v>
      </c>
      <c r="D22" s="3219"/>
      <c r="E22" s="2502">
        <f>'Exh D Special Revenue State Fed'!E22+'Exh D Special Revenue State Fed'!P22</f>
        <v>0</v>
      </c>
      <c r="F22" s="1188"/>
      <c r="G22" s="1042">
        <f>+'Exh D Special Revenue State Fed'!G22</f>
        <v>172</v>
      </c>
      <c r="H22" s="2502"/>
      <c r="I22" s="2502">
        <v>0</v>
      </c>
      <c r="J22" s="2502"/>
      <c r="K22" s="2502">
        <f t="shared" si="0"/>
        <v>172</v>
      </c>
      <c r="L22" s="1188"/>
      <c r="M22" s="2502">
        <f t="shared" ref="M22:M26" si="1">ROUND(SUM(K22)-SUM(C22),1)</f>
        <v>14</v>
      </c>
      <c r="N22" s="1609"/>
      <c r="O22" s="2502">
        <v>0</v>
      </c>
      <c r="P22" s="1589"/>
      <c r="Q22" s="1610"/>
      <c r="R22" s="1589"/>
      <c r="S22" s="1610"/>
      <c r="T22" s="1589"/>
      <c r="U22" s="1589"/>
      <c r="V22" s="1610"/>
      <c r="W22" s="1589"/>
      <c r="X22" s="1589"/>
      <c r="Y22" s="1610"/>
      <c r="Z22" s="393"/>
      <c r="AA22" s="1610"/>
      <c r="AB22" s="1589"/>
    </row>
    <row r="23" spans="1:28">
      <c r="A23" s="1443" t="s">
        <v>93</v>
      </c>
      <c r="B23" s="1589"/>
      <c r="C23" s="1207">
        <f>'Exh D Special Revenue State Fed'!C23+'Exh D Special Revenue State Fed'!N23</f>
        <v>0</v>
      </c>
      <c r="D23" s="3220"/>
      <c r="E23" s="2502">
        <f>'Exh D Special Revenue State Fed'!E23+'Exh D Special Revenue State Fed'!P23</f>
        <v>0</v>
      </c>
      <c r="F23" s="1042"/>
      <c r="G23" s="1042">
        <f>+'Exh D Special Revenue State Fed'!G23</f>
        <v>0</v>
      </c>
      <c r="H23" s="2502"/>
      <c r="I23" s="2502">
        <v>0</v>
      </c>
      <c r="J23" s="2502"/>
      <c r="K23" s="2502">
        <f t="shared" si="0"/>
        <v>0</v>
      </c>
      <c r="L23" s="1042"/>
      <c r="M23" s="2502">
        <f t="shared" si="1"/>
        <v>0</v>
      </c>
      <c r="N23" s="1608"/>
      <c r="O23" s="2502">
        <v>0</v>
      </c>
      <c r="P23" s="1589"/>
      <c r="Q23" s="1589"/>
      <c r="R23" s="1589"/>
      <c r="S23" s="1589"/>
      <c r="T23" s="1589"/>
      <c r="U23" s="1589"/>
      <c r="V23" s="1589"/>
      <c r="W23" s="1589"/>
      <c r="X23" s="1589"/>
      <c r="Y23" s="1589"/>
      <c r="Z23" s="1589"/>
      <c r="AA23" s="1589"/>
      <c r="AB23" s="1589"/>
    </row>
    <row r="24" spans="1:28" ht="15" customHeight="1">
      <c r="A24" s="1443" t="s">
        <v>20</v>
      </c>
      <c r="B24" s="1589"/>
      <c r="C24" s="1207">
        <f>'Exh D Special Revenue State Fed'!C24+'Exh D Special Revenue State Fed'!N24</f>
        <v>1653</v>
      </c>
      <c r="D24" s="3220"/>
      <c r="E24" s="2502">
        <f>'Exh D Special Revenue State Fed'!E24+'Exh D Special Revenue State Fed'!P24</f>
        <v>0</v>
      </c>
      <c r="F24" s="1042"/>
      <c r="G24" s="1042">
        <f>+'Exh D Special Revenue State Fed'!G24+'Exh D Special Revenue State Fed'!R24</f>
        <v>1537.5</v>
      </c>
      <c r="H24" s="2502"/>
      <c r="I24" s="2502">
        <v>0</v>
      </c>
      <c r="J24" s="2502"/>
      <c r="K24" s="2502">
        <f t="shared" si="0"/>
        <v>1537.5</v>
      </c>
      <c r="L24" s="1042"/>
      <c r="M24" s="2502">
        <f t="shared" si="1"/>
        <v>-115.5</v>
      </c>
      <c r="N24" s="1608"/>
      <c r="O24" s="2502">
        <v>0</v>
      </c>
      <c r="P24" s="1589"/>
      <c r="Q24" s="1589"/>
      <c r="R24" s="1589"/>
      <c r="S24" s="1589"/>
      <c r="T24" s="1589"/>
      <c r="U24" s="1589"/>
      <c r="V24" s="1589"/>
      <c r="W24" s="1589"/>
      <c r="X24" s="1589"/>
      <c r="Y24" s="1589"/>
      <c r="Z24" s="1589"/>
      <c r="AA24" s="1589"/>
      <c r="AB24" s="1589"/>
    </row>
    <row r="25" spans="1:28" ht="15" customHeight="1">
      <c r="A25" s="1443" t="s">
        <v>21</v>
      </c>
      <c r="B25" s="1589"/>
      <c r="C25" s="1207">
        <f>'Exh D Special Revenue State Fed'!C25+'Exh D Special Revenue State Fed'!N25</f>
        <v>3557</v>
      </c>
      <c r="D25" s="3220"/>
      <c r="E25" s="2502">
        <f>'Exh D Special Revenue State Fed'!E25+'Exh D Special Revenue State Fed'!P25</f>
        <v>0</v>
      </c>
      <c r="F25" s="1042"/>
      <c r="G25" s="1042">
        <f>+'Exh D Special Revenue State Fed'!G25+'Exh D Special Revenue State Fed'!R25</f>
        <v>3557.3</v>
      </c>
      <c r="H25" s="2502"/>
      <c r="I25" s="2502">
        <v>0</v>
      </c>
      <c r="J25" s="2502"/>
      <c r="K25" s="2502">
        <f t="shared" si="0"/>
        <v>3557.3</v>
      </c>
      <c r="L25" s="1042"/>
      <c r="M25" s="2502">
        <f t="shared" si="1"/>
        <v>0.3</v>
      </c>
      <c r="N25" s="1608"/>
      <c r="O25" s="2502">
        <v>0</v>
      </c>
      <c r="P25" s="1612"/>
      <c r="Q25" s="1589"/>
      <c r="R25" s="1612"/>
      <c r="S25" s="1589"/>
      <c r="T25" s="1612"/>
      <c r="U25" s="1613"/>
      <c r="V25" s="1589"/>
      <c r="W25" s="1589"/>
      <c r="X25" s="1589"/>
      <c r="Y25" s="1589"/>
      <c r="Z25" s="1589"/>
      <c r="AA25" s="1589"/>
      <c r="AB25" s="1589"/>
    </row>
    <row r="26" spans="1:28">
      <c r="A26" s="1443" t="s">
        <v>1521</v>
      </c>
      <c r="B26" s="1612"/>
      <c r="C26" s="2828">
        <f>'Exh D Special Revenue State Fed'!C26+'Exh D Special Revenue State Fed'!N26</f>
        <v>334</v>
      </c>
      <c r="D26" s="3221"/>
      <c r="E26" s="1593">
        <f>'Exh D Special Revenue State Fed'!E26+'Exh D Special Revenue State Fed'!P26</f>
        <v>0</v>
      </c>
      <c r="F26" s="1042"/>
      <c r="G26" s="1593">
        <f>+'Exh D Special Revenue State Fed'!G26</f>
        <v>381.9</v>
      </c>
      <c r="H26" s="1609"/>
      <c r="I26" s="2381">
        <f>+'Exhibit G'!AB114</f>
        <v>-58.799999999999955</v>
      </c>
      <c r="J26" s="1609"/>
      <c r="K26" s="1594">
        <f t="shared" si="0"/>
        <v>323.10000000000002</v>
      </c>
      <c r="L26" s="1042"/>
      <c r="M26" s="2281">
        <f t="shared" si="1"/>
        <v>-10.9</v>
      </c>
      <c r="N26" s="1608"/>
      <c r="O26" s="2502">
        <v>0</v>
      </c>
      <c r="P26" s="1612"/>
      <c r="Q26" s="1589"/>
      <c r="R26" s="1612"/>
      <c r="S26" s="1589"/>
      <c r="T26" s="1612"/>
      <c r="U26" s="1613"/>
      <c r="V26" s="1589"/>
      <c r="W26" s="1589"/>
      <c r="X26" s="1589"/>
      <c r="Y26" s="1589"/>
      <c r="Z26" s="1589"/>
      <c r="AA26" s="1589"/>
      <c r="AB26" s="1589"/>
    </row>
    <row r="27" spans="1:28" ht="18" customHeight="1">
      <c r="A27" s="1891" t="s">
        <v>110</v>
      </c>
      <c r="B27" s="341"/>
      <c r="C27" s="1461">
        <f>ROUND(SUM(C20:C26),1)</f>
        <v>5885</v>
      </c>
      <c r="D27" s="341"/>
      <c r="E27" s="1461">
        <f>ROUND(SUM(E20:E26),1)</f>
        <v>0</v>
      </c>
      <c r="F27" s="1587"/>
      <c r="G27" s="1461">
        <f>ROUND(SUM(G20:G26),1)</f>
        <v>5835.1</v>
      </c>
      <c r="H27" s="2503"/>
      <c r="I27" s="1461">
        <f>ROUND(SUM(I20:I26),1)</f>
        <v>-58.8</v>
      </c>
      <c r="J27" s="2503"/>
      <c r="K27" s="1461">
        <f>ROUND(SUM(K20:K26),1)</f>
        <v>5776.3</v>
      </c>
      <c r="L27" s="1587"/>
      <c r="M27" s="1461">
        <f>ROUND(SUM(M20:M26),1)</f>
        <v>-108.7</v>
      </c>
      <c r="N27" s="264"/>
      <c r="O27" s="3512">
        <f>ROUND(SUM(O20:O26),1)</f>
        <v>0</v>
      </c>
      <c r="P27" s="341"/>
      <c r="Q27" s="341"/>
      <c r="R27" s="341"/>
      <c r="S27" s="341"/>
      <c r="T27" s="341"/>
      <c r="U27" s="341"/>
      <c r="V27" s="341"/>
      <c r="W27" s="341"/>
      <c r="X27" s="341"/>
      <c r="Y27" s="341"/>
      <c r="Z27" s="341"/>
      <c r="AA27" s="341"/>
      <c r="AB27" s="341"/>
    </row>
    <row r="28" spans="1:28">
      <c r="A28" s="1212"/>
      <c r="B28" s="1589"/>
      <c r="C28" s="1608"/>
      <c r="D28" s="1589"/>
      <c r="E28" s="3117"/>
      <c r="F28" s="1042"/>
      <c r="G28" s="1210"/>
      <c r="H28" s="1608"/>
      <c r="I28" s="1608"/>
      <c r="J28" s="1608"/>
      <c r="K28" s="1608"/>
      <c r="L28" s="1042"/>
      <c r="M28" s="1210"/>
      <c r="N28" s="1608"/>
      <c r="O28" s="1210"/>
      <c r="P28" s="1589"/>
      <c r="Q28" s="1589"/>
      <c r="R28" s="1589"/>
      <c r="S28" s="1589"/>
      <c r="T28" s="1589"/>
      <c r="U28" s="1589"/>
      <c r="V28" s="1589"/>
      <c r="W28" s="1589"/>
      <c r="X28" s="1589"/>
      <c r="Y28" s="1589"/>
      <c r="Z28" s="1589"/>
      <c r="AA28" s="1589"/>
      <c r="AB28" s="1589"/>
    </row>
    <row r="29" spans="1:28" ht="15.75">
      <c r="A29" s="216" t="s">
        <v>23</v>
      </c>
      <c r="B29" s="1589"/>
      <c r="C29" s="1608"/>
      <c r="D29" s="1589"/>
      <c r="E29" s="2502"/>
      <c r="F29" s="1042"/>
      <c r="G29" s="1042"/>
      <c r="H29" s="2502"/>
      <c r="I29" s="2502"/>
      <c r="J29" s="2502"/>
      <c r="K29" s="2502"/>
      <c r="L29" s="1042"/>
      <c r="M29" s="1042"/>
      <c r="N29" s="1608"/>
      <c r="O29" s="2502"/>
      <c r="P29" s="1589"/>
      <c r="Q29" s="1589"/>
      <c r="R29" s="1589"/>
      <c r="S29" s="1589"/>
      <c r="T29" s="1589"/>
      <c r="U29" s="1589"/>
      <c r="V29" s="1589"/>
      <c r="W29" s="1589"/>
      <c r="X29" s="1589"/>
      <c r="Y29" s="1589"/>
      <c r="Z29" s="1589"/>
      <c r="AA29" s="1589"/>
      <c r="AB29" s="1589"/>
    </row>
    <row r="30" spans="1:28">
      <c r="A30" s="1443" t="s">
        <v>95</v>
      </c>
      <c r="B30" s="1610"/>
      <c r="C30" s="1207">
        <f>'Exh D Special Revenue State Fed'!C30+'Exh D Special Revenue State Fed'!N30</f>
        <v>4376</v>
      </c>
      <c r="D30" s="3222"/>
      <c r="E30" s="2502">
        <f>'Exh D Special Revenue State Fed'!E30+'Exh D Special Revenue State Fed'!P30</f>
        <v>0</v>
      </c>
      <c r="F30" s="1042"/>
      <c r="G30" s="1188">
        <f>+'Exh D Special Revenue State Fed'!G30+'Exh D Special Revenue State Fed'!R30</f>
        <v>4328.5</v>
      </c>
      <c r="H30" s="1188"/>
      <c r="I30" s="1188">
        <v>0</v>
      </c>
      <c r="J30" s="1188"/>
      <c r="K30" s="2502">
        <f>+G30+I30</f>
        <v>4328.5</v>
      </c>
      <c r="L30" s="1042"/>
      <c r="M30" s="2502">
        <f t="shared" ref="M30:M34" si="2">ROUND(SUM(K30)-SUM(C30),1)</f>
        <v>-47.5</v>
      </c>
      <c r="N30" s="1608"/>
      <c r="O30" s="2502">
        <v>0</v>
      </c>
      <c r="P30" s="1612"/>
      <c r="Q30" s="1589"/>
      <c r="R30" s="1612"/>
      <c r="S30" s="1589"/>
      <c r="T30" s="1612"/>
      <c r="U30" s="1613"/>
      <c r="V30" s="1589"/>
      <c r="W30" s="1589"/>
      <c r="X30" s="1589"/>
      <c r="Y30" s="1589"/>
      <c r="Z30" s="1589"/>
      <c r="AA30" s="1589"/>
      <c r="AB30" s="1589"/>
    </row>
    <row r="31" spans="1:28">
      <c r="A31" s="1443" t="s">
        <v>96</v>
      </c>
      <c r="B31" s="1610"/>
      <c r="C31" s="1207">
        <f>'Exh D Special Revenue State Fed'!C31+'Exh D Special Revenue State Fed'!N31</f>
        <v>691</v>
      </c>
      <c r="D31" s="3222"/>
      <c r="E31" s="2502">
        <f>'Exh D Special Revenue State Fed'!E31+'Exh D Special Revenue State Fed'!P31</f>
        <v>0</v>
      </c>
      <c r="F31" s="1042"/>
      <c r="G31" s="1188">
        <f>+'Exh D Special Revenue State Fed'!G31+'Exh D Special Revenue State Fed'!R31</f>
        <v>686.99999999999989</v>
      </c>
      <c r="H31" s="1188"/>
      <c r="I31" s="1188">
        <v>0</v>
      </c>
      <c r="J31" s="1188"/>
      <c r="K31" s="2502">
        <f>+G31+I31</f>
        <v>686.99999999999989</v>
      </c>
      <c r="L31" s="1042"/>
      <c r="M31" s="2502">
        <f t="shared" si="2"/>
        <v>-4</v>
      </c>
      <c r="N31" s="1608"/>
      <c r="O31" s="2502">
        <v>0</v>
      </c>
      <c r="P31" s="1610"/>
      <c r="Q31" s="1589"/>
      <c r="R31" s="1610"/>
      <c r="S31" s="1589"/>
      <c r="T31" s="1612"/>
      <c r="U31" s="1589"/>
      <c r="V31" s="1589"/>
      <c r="W31" s="1612"/>
      <c r="X31" s="1612"/>
      <c r="Y31" s="1589"/>
      <c r="Z31" s="1612"/>
      <c r="AA31" s="1589"/>
      <c r="AB31" s="1612"/>
    </row>
    <row r="32" spans="1:28">
      <c r="A32" s="1443" t="s">
        <v>71</v>
      </c>
      <c r="B32" s="1610"/>
      <c r="C32" s="1207">
        <f>'Exh D Special Revenue State Fed'!C32+'Exh D Special Revenue State Fed'!N32</f>
        <v>158</v>
      </c>
      <c r="D32" s="3222"/>
      <c r="E32" s="2502">
        <f>'Exh D Special Revenue State Fed'!E32+'Exh D Special Revenue State Fed'!P32</f>
        <v>0</v>
      </c>
      <c r="F32" s="1042"/>
      <c r="G32" s="1188">
        <f>+'Exh D Special Revenue State Fed'!G32+'Exh D Special Revenue State Fed'!R32</f>
        <v>158.9</v>
      </c>
      <c r="H32" s="1188"/>
      <c r="I32" s="1188">
        <v>0</v>
      </c>
      <c r="J32" s="1188"/>
      <c r="K32" s="2502">
        <f>+G32+I32</f>
        <v>158.9</v>
      </c>
      <c r="L32" s="1042"/>
      <c r="M32" s="2502">
        <f t="shared" si="2"/>
        <v>0.9</v>
      </c>
      <c r="N32" s="1608"/>
      <c r="O32" s="2502">
        <v>0</v>
      </c>
      <c r="P32" s="1612"/>
      <c r="Q32" s="1589"/>
      <c r="R32" s="1612"/>
      <c r="S32" s="1589"/>
      <c r="T32" s="1612"/>
      <c r="U32" s="1613"/>
      <c r="V32" s="1589"/>
      <c r="W32" s="1612"/>
      <c r="X32" s="1612"/>
      <c r="Y32" s="1589"/>
      <c r="Z32" s="1612"/>
      <c r="AA32" s="1589"/>
      <c r="AB32" s="1612"/>
    </row>
    <row r="33" spans="1:28">
      <c r="A33" s="1443" t="s">
        <v>42</v>
      </c>
      <c r="B33" s="1610"/>
      <c r="C33" s="1207">
        <f>'Exh D Special Revenue State Fed'!C33+'Exh D Special Revenue State Fed'!N33</f>
        <v>0</v>
      </c>
      <c r="D33" s="3222"/>
      <c r="E33" s="2502">
        <f>'Exh D Special Revenue State Fed'!E33+'Exh D Special Revenue State Fed'!P33</f>
        <v>0</v>
      </c>
      <c r="F33" s="1042"/>
      <c r="G33" s="1208">
        <f>+'Exh D Special Revenue State Fed'!G33+'Exh D Special Revenue State Fed'!R33</f>
        <v>0</v>
      </c>
      <c r="H33" s="1208"/>
      <c r="I33" s="1208">
        <v>0</v>
      </c>
      <c r="J33" s="1208"/>
      <c r="K33" s="2502">
        <f>+G33+I33</f>
        <v>0</v>
      </c>
      <c r="L33" s="1042"/>
      <c r="M33" s="2502">
        <f t="shared" si="2"/>
        <v>0</v>
      </c>
      <c r="N33" s="1608"/>
      <c r="O33" s="2502">
        <f t="shared" ref="O33" si="3">ROUND(SUM(K33)-SUM(E33),1)</f>
        <v>0</v>
      </c>
      <c r="P33" s="1612"/>
      <c r="Q33" s="1589"/>
      <c r="R33" s="1612"/>
      <c r="S33" s="1589"/>
      <c r="T33" s="1612"/>
      <c r="U33" s="1613"/>
      <c r="V33" s="1589"/>
      <c r="W33" s="1589"/>
      <c r="X33" s="1589"/>
      <c r="Y33" s="1589"/>
      <c r="Z33" s="1589"/>
      <c r="AA33" s="1589"/>
      <c r="AB33" s="1589"/>
    </row>
    <row r="34" spans="1:28">
      <c r="A34" s="1443" t="s">
        <v>1522</v>
      </c>
      <c r="B34" s="1610"/>
      <c r="C34" s="1207">
        <f>'Exh D Special Revenue State Fed'!C34+'Exh D Special Revenue State Fed'!N34</f>
        <v>111</v>
      </c>
      <c r="D34" s="3222"/>
      <c r="E34" s="2502">
        <f>'Exh D Special Revenue State Fed'!E34+'Exh D Special Revenue State Fed'!P34</f>
        <v>0</v>
      </c>
      <c r="F34" s="1042"/>
      <c r="G34" s="1188">
        <f>+'Exh D Special Revenue State Fed'!G34+'Exh D Special Revenue State Fed'!R34</f>
        <v>-7.7000000000000028</v>
      </c>
      <c r="H34" s="1188"/>
      <c r="I34" s="1206">
        <f>-'Exhibit G'!AB115</f>
        <v>-58.79999999999999</v>
      </c>
      <c r="J34" s="1188"/>
      <c r="K34" s="2502">
        <f>+G34+I34</f>
        <v>-66.5</v>
      </c>
      <c r="L34" s="1042"/>
      <c r="M34" s="2502">
        <f t="shared" si="2"/>
        <v>-177.5</v>
      </c>
      <c r="N34" s="1608"/>
      <c r="O34" s="2502">
        <v>0</v>
      </c>
      <c r="P34" s="1612"/>
      <c r="Q34" s="1589"/>
      <c r="R34" s="1612"/>
      <c r="S34" s="1589"/>
      <c r="T34" s="1612"/>
      <c r="U34" s="1613"/>
      <c r="V34" s="1589"/>
      <c r="W34" s="1589"/>
      <c r="X34" s="1589"/>
      <c r="Y34" s="1589"/>
      <c r="Z34" s="1589"/>
      <c r="AA34" s="1589"/>
      <c r="AB34" s="1589"/>
    </row>
    <row r="35" spans="1:28" ht="18" customHeight="1">
      <c r="A35" s="2520" t="s">
        <v>119</v>
      </c>
      <c r="B35" s="341"/>
      <c r="C35" s="3118">
        <f>ROUND(SUM(C30:C34),1)</f>
        <v>5336</v>
      </c>
      <c r="D35" s="341"/>
      <c r="E35" s="3119">
        <f>ROUND(SUM(E30:E34),1)</f>
        <v>0</v>
      </c>
      <c r="F35" s="1587"/>
      <c r="G35" s="406">
        <f>ROUND(SUM(G30:G34),1)</f>
        <v>5166.7</v>
      </c>
      <c r="H35" s="2503"/>
      <c r="I35" s="2521">
        <f>ROUND(SUM(I30:I34),1)</f>
        <v>-58.8</v>
      </c>
      <c r="J35" s="2503"/>
      <c r="K35" s="2521">
        <f>ROUND(SUM(K30:K34),1)</f>
        <v>5107.8999999999996</v>
      </c>
      <c r="L35" s="1587"/>
      <c r="M35" s="406">
        <f>ROUND(SUM(M30:M34),1)</f>
        <v>-228.1</v>
      </c>
      <c r="N35" s="264"/>
      <c r="O35" s="406">
        <f>ROUND(SUM(O30:O34),1)</f>
        <v>0</v>
      </c>
      <c r="P35" s="341"/>
      <c r="Q35" s="341"/>
      <c r="R35" s="341"/>
      <c r="S35" s="341"/>
      <c r="T35" s="341"/>
      <c r="U35" s="341"/>
      <c r="V35" s="341"/>
      <c r="W35" s="341"/>
      <c r="X35" s="341"/>
      <c r="Y35" s="341"/>
      <c r="Z35" s="341"/>
      <c r="AA35" s="341"/>
      <c r="AB35" s="341"/>
    </row>
    <row r="36" spans="1:28">
      <c r="A36" s="1212"/>
      <c r="B36" s="1589"/>
      <c r="C36" s="1608"/>
      <c r="D36" s="1589"/>
      <c r="E36" s="3117"/>
      <c r="F36" s="1042"/>
      <c r="G36" s="1210"/>
      <c r="H36" s="1608"/>
      <c r="I36" s="1608"/>
      <c r="J36" s="1608"/>
      <c r="K36" s="1608"/>
      <c r="L36" s="1042"/>
      <c r="M36" s="1210"/>
      <c r="N36" s="1608"/>
      <c r="O36" s="1210"/>
      <c r="P36" s="1589"/>
      <c r="Q36" s="1589"/>
      <c r="R36" s="1589"/>
      <c r="S36" s="1589"/>
      <c r="T36" s="1589"/>
      <c r="U36" s="1589"/>
      <c r="V36" s="1589"/>
      <c r="W36" s="1589"/>
      <c r="X36" s="1589"/>
      <c r="Y36" s="1589"/>
      <c r="Z36" s="1589"/>
      <c r="AA36" s="1589"/>
      <c r="AB36" s="1589"/>
    </row>
    <row r="37" spans="1:28" ht="15.75">
      <c r="A37" s="216" t="s">
        <v>120</v>
      </c>
      <c r="B37" s="1589"/>
      <c r="C37" s="1608"/>
      <c r="D37" s="1589"/>
      <c r="E37" s="2502"/>
      <c r="F37" s="1042"/>
      <c r="G37" s="1042"/>
      <c r="H37" s="2502"/>
      <c r="I37" s="2502"/>
      <c r="J37" s="2502"/>
      <c r="K37" s="2502"/>
      <c r="L37" s="1042"/>
      <c r="M37" s="1042"/>
      <c r="N37" s="1608"/>
      <c r="O37" s="2502"/>
      <c r="P37" s="1589"/>
      <c r="Q37" s="1589"/>
      <c r="R37" s="1589"/>
      <c r="S37" s="1589"/>
      <c r="T37" s="1589"/>
      <c r="U37" s="1589"/>
      <c r="V37" s="1589"/>
      <c r="W37" s="1589"/>
      <c r="X37" s="1589"/>
      <c r="Y37" s="1589"/>
      <c r="Z37" s="1589"/>
      <c r="AA37" s="1589"/>
      <c r="AB37" s="1589"/>
    </row>
    <row r="38" spans="1:28" ht="15.75">
      <c r="A38" s="216" t="s">
        <v>121</v>
      </c>
      <c r="B38" s="1589"/>
      <c r="C38" s="1608"/>
      <c r="D38" s="1589"/>
      <c r="E38" s="2502"/>
      <c r="F38" s="1042"/>
      <c r="G38" s="1042"/>
      <c r="H38" s="2502"/>
      <c r="I38" s="2502"/>
      <c r="J38" s="2502"/>
      <c r="K38" s="2502"/>
      <c r="L38" s="1042"/>
      <c r="M38" s="1042"/>
      <c r="N38" s="1608"/>
      <c r="O38" s="2502"/>
      <c r="P38" s="1589"/>
      <c r="Q38" s="1589"/>
      <c r="R38" s="1589"/>
      <c r="S38" s="1589"/>
      <c r="T38" s="1589"/>
      <c r="U38" s="1589"/>
      <c r="V38" s="1589"/>
      <c r="W38" s="1589"/>
      <c r="X38" s="1589"/>
      <c r="Y38" s="1589"/>
      <c r="Z38" s="1589"/>
      <c r="AA38" s="1589"/>
      <c r="AB38" s="1589"/>
    </row>
    <row r="39" spans="1:28" ht="15.75">
      <c r="A39" s="1891" t="s">
        <v>104</v>
      </c>
      <c r="B39" s="365"/>
      <c r="C39" s="2503">
        <f>ROUND(SUM(C27)-SUM(C35),1)</f>
        <v>549</v>
      </c>
      <c r="D39" s="365"/>
      <c r="E39" s="2503">
        <f>ROUND(SUM(E27)-SUM(E35),1)</f>
        <v>0</v>
      </c>
      <c r="F39" s="273"/>
      <c r="G39" s="264">
        <f>ROUND(SUM(G27)-SUM(G35),1)</f>
        <v>668.4</v>
      </c>
      <c r="H39" s="2503"/>
      <c r="I39" s="2503">
        <v>0</v>
      </c>
      <c r="J39" s="2503"/>
      <c r="K39" s="2503">
        <f>+G39+I39</f>
        <v>668.4</v>
      </c>
      <c r="L39" s="273"/>
      <c r="M39" s="264">
        <f>ROUND(SUM(M27)-SUM(M35),1)</f>
        <v>119.4</v>
      </c>
      <c r="N39" s="692"/>
      <c r="O39" s="2503">
        <f>ROUND(SUM(O27)-SUM(O35),1)</f>
        <v>0</v>
      </c>
      <c r="P39" s="341"/>
      <c r="Q39" s="364"/>
      <c r="R39" s="341"/>
      <c r="S39" s="364"/>
      <c r="T39" s="341"/>
      <c r="U39" s="341"/>
      <c r="V39" s="364"/>
      <c r="W39" s="341"/>
      <c r="X39" s="341"/>
      <c r="Y39" s="364"/>
      <c r="Z39" s="341"/>
      <c r="AA39" s="364"/>
      <c r="AB39" s="341"/>
    </row>
    <row r="40" spans="1:28" ht="15" customHeight="1">
      <c r="C40" s="1131"/>
      <c r="E40" s="1131"/>
      <c r="F40" s="1597"/>
      <c r="G40" s="1131"/>
      <c r="H40" s="1131"/>
      <c r="I40" s="1131"/>
      <c r="J40" s="1131"/>
      <c r="K40" s="1131"/>
      <c r="L40" s="1597"/>
      <c r="M40" s="1131"/>
      <c r="N40" s="1131"/>
      <c r="O40" s="1131"/>
    </row>
    <row r="41" spans="1:28" ht="15.75">
      <c r="A41" s="1891" t="str">
        <f>+'Exh D-Governmental  '!A49</f>
        <v>Fund Balances (Deficits) at April 1</v>
      </c>
      <c r="C41" s="3223">
        <f>'Exh D Special Revenue State Fed'!C41+'Exh D Special Revenue State Fed'!N41</f>
        <v>4302</v>
      </c>
      <c r="D41" s="3224"/>
      <c r="E41" s="3223">
        <v>0</v>
      </c>
      <c r="F41" s="1597"/>
      <c r="G41" s="2503">
        <f>'Exh D Special Revenue State Fed'!G41+'Exh D Special Revenue State Fed'!R41</f>
        <v>4302.1000000000004</v>
      </c>
      <c r="H41" s="2503"/>
      <c r="I41" s="2503">
        <v>0</v>
      </c>
      <c r="J41" s="2503"/>
      <c r="K41" s="2503">
        <f>+G41+I41</f>
        <v>4302.1000000000004</v>
      </c>
      <c r="L41" s="1597"/>
      <c r="M41" s="262">
        <f t="shared" ref="M41" si="4">ROUND(SUM(K41)-SUM(C41),1)</f>
        <v>0.1</v>
      </c>
      <c r="N41" s="1131"/>
      <c r="O41" s="1587">
        <v>0</v>
      </c>
    </row>
    <row r="42" spans="1:28" ht="18" customHeight="1" thickBot="1">
      <c r="A42" s="2198" t="str">
        <f>+'Exh D-Governmental  '!A50</f>
        <v>Fund Balances (Deficits) at April 30, 2018</v>
      </c>
      <c r="B42" s="365"/>
      <c r="C42" s="287">
        <f>ROUND(SUM(C39:C41),1)</f>
        <v>4851</v>
      </c>
      <c r="D42" s="365"/>
      <c r="E42" s="287">
        <f>ROUND(SUM(E39:E41),1)</f>
        <v>0</v>
      </c>
      <c r="F42" s="371"/>
      <c r="G42" s="287">
        <f>ROUND(SUM(G39:G41),1)</f>
        <v>4970.5</v>
      </c>
      <c r="H42" s="410"/>
      <c r="I42" s="287">
        <f>ROUND(SUM(I39:I41),1)</f>
        <v>0</v>
      </c>
      <c r="J42" s="410"/>
      <c r="K42" s="287">
        <f>ROUND(SUM(K39:K41),1)</f>
        <v>4970.5</v>
      </c>
      <c r="L42" s="371"/>
      <c r="M42" s="287">
        <f>ROUND(SUM(M39:M41),1)</f>
        <v>119.5</v>
      </c>
      <c r="O42" s="287">
        <f>ROUND(SUM(O39:O41),1)</f>
        <v>0</v>
      </c>
    </row>
    <row r="43" spans="1:28" ht="15" customHeight="1" thickTop="1">
      <c r="A43" s="345"/>
      <c r="E43" s="1211"/>
      <c r="F43" s="1614"/>
      <c r="G43" s="1614"/>
      <c r="H43" s="1614"/>
      <c r="I43" s="1614"/>
      <c r="J43" s="1614"/>
      <c r="K43" s="1614"/>
      <c r="L43" s="1614"/>
      <c r="M43" s="1614"/>
      <c r="O43" s="2523"/>
    </row>
    <row r="44" spans="1:28">
      <c r="A44" s="1601" t="str">
        <f>'Exh D-Governmental  '!A52</f>
        <v>(*)    Source: 2018-19 Enacted Financial Plan dated May 11, 2018.</v>
      </c>
    </row>
    <row r="45" spans="1:28">
      <c r="A45" s="2405" t="s">
        <v>1492</v>
      </c>
    </row>
    <row r="46" spans="1:28">
      <c r="A46" s="2405"/>
    </row>
    <row r="47" spans="1:28">
      <c r="A47" s="1615"/>
    </row>
    <row r="49" spans="1:1">
      <c r="A49" s="394"/>
    </row>
    <row r="50" spans="1:1">
      <c r="A50" s="394"/>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mergeCells count="1">
    <mergeCell ref="A5:E5"/>
  </mergeCells>
  <pageMargins left="0.7" right="0.7" top="0.75" bottom="0.6" header="0.3" footer="0.3"/>
  <pageSetup scale="60" firstPageNumber="10"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49"/>
  <sheetViews>
    <sheetView showGridLines="0" zoomScale="70" zoomScaleNormal="80" workbookViewId="0"/>
  </sheetViews>
  <sheetFormatPr defaultColWidth="8.88671875" defaultRowHeight="15"/>
  <cols>
    <col min="1" max="1" width="53.109375" style="1596" customWidth="1"/>
    <col min="2" max="2" width="0.77734375" style="1021" customWidth="1"/>
    <col min="3" max="3" width="15.77734375" style="732" customWidth="1"/>
    <col min="4" max="4" width="0.77734375" style="1600" customWidth="1"/>
    <col min="5" max="5" width="15.77734375" style="732" customWidth="1"/>
    <col min="6" max="6" width="0.77734375" style="1600" customWidth="1"/>
    <col min="7" max="7" width="15.77734375" style="1600" customWidth="1"/>
    <col min="8" max="8" width="0.6640625" style="1600" customWidth="1"/>
    <col min="9" max="9" width="15.77734375" style="1600" customWidth="1"/>
    <col min="10" max="10" width="0.77734375" style="1600" customWidth="1"/>
    <col min="11" max="11" width="15.77734375" style="1600" customWidth="1"/>
    <col min="12" max="12" width="1.6640625" style="1021" customWidth="1"/>
    <col min="13" max="13" width="0.6640625" style="1021" customWidth="1"/>
    <col min="14" max="14" width="15.77734375" style="1021" customWidth="1"/>
    <col min="15" max="15" width="1.33203125" style="1021" customWidth="1"/>
    <col min="16" max="16" width="15.77734375" style="1021" customWidth="1"/>
    <col min="17" max="17" width="1.33203125" style="1021" customWidth="1"/>
    <col min="18" max="18" width="15.77734375" style="1021" customWidth="1"/>
    <col min="19" max="19" width="0.5546875" style="1021" customWidth="1"/>
    <col min="20" max="20" width="15.77734375" style="1021" customWidth="1"/>
    <col min="21" max="21" width="1.33203125" style="1021" customWidth="1"/>
    <col min="22" max="22" width="15.77734375" style="732" customWidth="1"/>
    <col min="23" max="23" width="1" style="1021" customWidth="1"/>
    <col min="24" max="24" width="3.6640625" style="732" customWidth="1"/>
    <col min="25" max="25" width="1" style="1021" customWidth="1"/>
    <col min="26" max="26" width="15.77734375" style="1021" customWidth="1"/>
    <col min="27" max="27" width="0.77734375" style="1021" customWidth="1"/>
    <col min="28" max="28" width="15.77734375" style="1021" customWidth="1"/>
    <col min="29" max="29" width="0.33203125" style="1021" customWidth="1"/>
    <col min="30" max="30" width="11.88671875" style="1021" customWidth="1"/>
    <col min="31" max="31" width="11.44140625" style="1021" customWidth="1"/>
    <col min="32" max="32" width="1.88671875" style="1021" customWidth="1"/>
    <col min="33" max="33" width="11.6640625" style="1021" customWidth="1"/>
    <col min="34" max="34" width="2.109375" style="1021" customWidth="1"/>
    <col min="35" max="35" width="11.44140625" style="1021" customWidth="1"/>
    <col min="36" max="36" width="0.5546875" style="1021" customWidth="1"/>
    <col min="37" max="37" width="2.33203125" style="1021" customWidth="1"/>
    <col min="38" max="38" width="10.5546875" style="1021" customWidth="1"/>
    <col min="39" max="39" width="11.109375" style="1021" customWidth="1"/>
    <col min="40" max="40" width="2.21875" style="1021" customWidth="1"/>
    <col min="41" max="41" width="11.109375" style="1021" customWidth="1"/>
    <col min="42" max="42" width="2.109375" style="1021" customWidth="1"/>
    <col min="43" max="43" width="12.44140625" style="1021" customWidth="1"/>
    <col min="44" max="48" width="8.88671875" style="1021"/>
    <col min="49" max="49" width="8.88671875" style="1600"/>
    <col min="50" max="16384" width="8.88671875" style="1596"/>
  </cols>
  <sheetData>
    <row r="1" spans="1:49">
      <c r="A1" s="1602" t="s">
        <v>1064</v>
      </c>
      <c r="B1" s="376"/>
      <c r="C1" s="726"/>
      <c r="D1" s="377"/>
      <c r="E1" s="726"/>
      <c r="F1" s="377"/>
      <c r="G1" s="377"/>
      <c r="H1" s="377"/>
      <c r="I1" s="377"/>
      <c r="J1" s="377"/>
      <c r="K1" s="377"/>
      <c r="L1" s="376"/>
      <c r="M1" s="376"/>
      <c r="N1" s="376"/>
      <c r="O1" s="376"/>
      <c r="P1" s="376"/>
      <c r="Q1" s="376"/>
      <c r="R1" s="376"/>
      <c r="S1" s="376"/>
      <c r="T1" s="376"/>
      <c r="U1" s="376"/>
      <c r="V1" s="1992"/>
      <c r="W1" s="376"/>
      <c r="X1" s="1992"/>
      <c r="Y1" s="376"/>
      <c r="Z1" s="376"/>
      <c r="AA1" s="376"/>
      <c r="AB1" s="376"/>
      <c r="AC1" s="377"/>
      <c r="AD1" s="376"/>
      <c r="AE1" s="376"/>
      <c r="AF1" s="376"/>
      <c r="AG1" s="376"/>
      <c r="AH1" s="376"/>
      <c r="AI1" s="376"/>
      <c r="AJ1" s="376"/>
      <c r="AK1" s="376"/>
      <c r="AL1" s="376"/>
      <c r="AM1" s="376"/>
      <c r="AN1" s="376"/>
      <c r="AO1" s="376"/>
      <c r="AP1" s="376"/>
      <c r="AQ1" s="376"/>
      <c r="AR1" s="1596"/>
      <c r="AS1" s="1596"/>
      <c r="AT1" s="1596"/>
      <c r="AU1" s="1596"/>
      <c r="AV1" s="1596"/>
      <c r="AW1" s="1596"/>
    </row>
    <row r="2" spans="1:49" ht="17.25" customHeight="1">
      <c r="A2" s="378"/>
      <c r="B2" s="379"/>
      <c r="C2" s="727"/>
      <c r="D2" s="377"/>
      <c r="E2" s="727"/>
      <c r="F2" s="377"/>
      <c r="G2" s="377"/>
      <c r="H2" s="377"/>
      <c r="I2" s="377"/>
      <c r="J2" s="377"/>
      <c r="K2" s="377"/>
      <c r="L2" s="376"/>
      <c r="M2" s="376"/>
      <c r="N2" s="376"/>
      <c r="O2" s="376"/>
      <c r="P2" s="376"/>
      <c r="Q2" s="376"/>
      <c r="R2" s="376"/>
      <c r="S2" s="376"/>
      <c r="T2" s="376"/>
      <c r="U2" s="376"/>
      <c r="V2" s="1992"/>
      <c r="W2" s="376"/>
      <c r="X2" s="1992"/>
      <c r="Y2" s="376"/>
      <c r="Z2" s="1993"/>
      <c r="AA2" s="376"/>
      <c r="AB2" s="376"/>
      <c r="AC2" s="377"/>
      <c r="AD2" s="376"/>
      <c r="AE2" s="376"/>
      <c r="AF2" s="376"/>
      <c r="AG2" s="376"/>
      <c r="AH2" s="376"/>
      <c r="AI2" s="376"/>
      <c r="AJ2" s="376"/>
      <c r="AK2" s="376"/>
      <c r="AL2" s="376"/>
      <c r="AM2" s="376"/>
      <c r="AN2" s="376"/>
      <c r="AO2" s="376"/>
      <c r="AP2" s="376"/>
      <c r="AQ2" s="376"/>
      <c r="AR2" s="1596"/>
      <c r="AS2" s="1596"/>
      <c r="AT2" s="1596"/>
      <c r="AU2" s="1596"/>
      <c r="AV2" s="1596"/>
      <c r="AW2" s="1596"/>
    </row>
    <row r="3" spans="1:49" ht="21" customHeight="1">
      <c r="A3" s="381" t="s">
        <v>0</v>
      </c>
      <c r="B3" s="338"/>
      <c r="C3" s="728"/>
      <c r="D3" s="332"/>
      <c r="E3" s="728"/>
      <c r="F3" s="332"/>
      <c r="G3" s="332"/>
      <c r="H3" s="332"/>
      <c r="I3" s="332"/>
      <c r="J3" s="332"/>
      <c r="K3" s="332"/>
      <c r="L3" s="346"/>
      <c r="M3" s="346"/>
      <c r="N3" s="346"/>
      <c r="O3" s="346"/>
      <c r="P3" s="346"/>
      <c r="Q3" s="346"/>
      <c r="R3" s="346"/>
      <c r="S3" s="346"/>
      <c r="T3" s="1452"/>
      <c r="U3" s="346"/>
      <c r="V3" s="1452" t="s">
        <v>85</v>
      </c>
      <c r="W3" s="346"/>
      <c r="X3" s="1994"/>
      <c r="Y3" s="346"/>
      <c r="Z3" s="346"/>
      <c r="AA3" s="346"/>
      <c r="AB3" s="1995"/>
      <c r="AC3" s="332"/>
      <c r="AD3" s="346"/>
      <c r="AE3" s="346"/>
      <c r="AF3" s="346"/>
      <c r="AG3" s="346"/>
      <c r="AH3" s="346"/>
      <c r="AI3" s="346"/>
      <c r="AJ3" s="346"/>
      <c r="AK3" s="346"/>
      <c r="AL3" s="346"/>
      <c r="AM3" s="346"/>
      <c r="AN3" s="346"/>
      <c r="AO3" s="346"/>
      <c r="AP3" s="346"/>
      <c r="AQ3" s="382"/>
      <c r="AR3" s="1596"/>
      <c r="AS3" s="1596"/>
      <c r="AT3" s="1596"/>
      <c r="AU3" s="1596"/>
      <c r="AV3" s="1596"/>
      <c r="AW3" s="1596"/>
    </row>
    <row r="4" spans="1:49" ht="21.75" customHeight="1">
      <c r="A4" s="381" t="s">
        <v>84</v>
      </c>
      <c r="B4" s="338"/>
      <c r="C4" s="728"/>
      <c r="D4" s="332"/>
      <c r="E4" s="728"/>
      <c r="F4" s="332"/>
      <c r="G4" s="332"/>
      <c r="H4" s="332"/>
      <c r="I4" s="332"/>
      <c r="J4" s="332"/>
      <c r="K4" s="332"/>
      <c r="L4" s="346"/>
      <c r="M4" s="346"/>
      <c r="N4" s="346"/>
      <c r="O4" s="346"/>
      <c r="P4" s="346"/>
      <c r="Q4" s="346"/>
      <c r="R4" s="346"/>
      <c r="S4" s="346"/>
      <c r="T4" s="1453"/>
      <c r="U4" s="346"/>
      <c r="V4" s="1453"/>
      <c r="W4" s="346"/>
      <c r="X4" s="1994"/>
      <c r="Y4" s="346"/>
      <c r="Z4" s="346"/>
      <c r="AA4" s="346"/>
      <c r="AB4" s="1996"/>
      <c r="AC4" s="332"/>
      <c r="AD4" s="346"/>
      <c r="AE4" s="346"/>
      <c r="AF4" s="346"/>
      <c r="AG4" s="346"/>
      <c r="AH4" s="346"/>
      <c r="AI4" s="346"/>
      <c r="AJ4" s="346"/>
      <c r="AK4" s="346"/>
      <c r="AL4" s="346"/>
      <c r="AM4" s="346"/>
      <c r="AN4" s="346"/>
      <c r="AO4" s="346"/>
      <c r="AP4" s="346"/>
      <c r="AQ4" s="346"/>
      <c r="AR4" s="1596"/>
      <c r="AS4" s="1596"/>
      <c r="AT4" s="1596"/>
      <c r="AU4" s="1596"/>
      <c r="AV4" s="1596"/>
      <c r="AW4" s="1596"/>
    </row>
    <row r="5" spans="1:49" ht="21.75" customHeight="1">
      <c r="A5" s="3741" t="str">
        <f>'Exh D-Governmental  '!A5:E5</f>
        <v>FISCAL YEAR 2018-2019</v>
      </c>
      <c r="B5" s="3742"/>
      <c r="C5" s="3742"/>
      <c r="D5" s="3742"/>
      <c r="E5" s="3742"/>
      <c r="F5" s="332"/>
      <c r="G5" s="1438"/>
      <c r="H5" s="332"/>
      <c r="I5" s="332"/>
      <c r="J5" s="332"/>
      <c r="K5" s="332"/>
      <c r="L5" s="346"/>
      <c r="M5" s="346"/>
      <c r="N5" s="3386"/>
      <c r="O5" s="346"/>
      <c r="P5" s="346"/>
      <c r="Q5" s="346"/>
      <c r="R5" s="346"/>
      <c r="S5" s="346"/>
      <c r="T5" s="346"/>
      <c r="U5" s="346"/>
      <c r="V5" s="1994"/>
      <c r="W5" s="346"/>
      <c r="X5" s="1994"/>
      <c r="Y5" s="346"/>
      <c r="Z5" s="346"/>
      <c r="AA5" s="346"/>
      <c r="AB5" s="346"/>
      <c r="AC5" s="332"/>
      <c r="AD5" s="346"/>
      <c r="AE5" s="346"/>
      <c r="AF5" s="346"/>
      <c r="AG5" s="346"/>
      <c r="AH5" s="346"/>
      <c r="AI5" s="346"/>
      <c r="AJ5" s="346"/>
      <c r="AK5" s="346"/>
      <c r="AL5" s="346"/>
      <c r="AM5" s="346"/>
      <c r="AN5" s="346"/>
      <c r="AO5" s="346"/>
      <c r="AP5" s="346"/>
      <c r="AQ5" s="346"/>
      <c r="AR5" s="1596"/>
      <c r="AS5" s="1596"/>
      <c r="AT5" s="1596"/>
      <c r="AU5" s="1596"/>
      <c r="AV5" s="1596"/>
      <c r="AW5" s="1596"/>
    </row>
    <row r="6" spans="1:49" ht="17.25" customHeight="1">
      <c r="A6" s="336" t="str">
        <f>'Exh D-Governmental  '!A6</f>
        <v>FOR ONE MONTH ENDED APRIL 30, 2018</v>
      </c>
      <c r="B6" s="337"/>
      <c r="C6" s="728"/>
      <c r="D6" s="332"/>
      <c r="E6" s="728"/>
      <c r="F6" s="332"/>
      <c r="G6" s="332"/>
      <c r="H6" s="332"/>
      <c r="I6" s="332"/>
      <c r="J6" s="332"/>
      <c r="K6" s="332"/>
      <c r="L6" s="346"/>
      <c r="M6" s="346"/>
      <c r="N6" s="346"/>
      <c r="O6" s="346"/>
      <c r="P6" s="346"/>
      <c r="Q6" s="346"/>
      <c r="R6" s="346"/>
      <c r="S6" s="346"/>
      <c r="T6" s="346"/>
      <c r="U6" s="346"/>
      <c r="V6" s="1994"/>
      <c r="W6" s="346"/>
      <c r="X6" s="1994"/>
      <c r="Y6" s="346"/>
      <c r="Z6" s="346"/>
      <c r="AA6" s="346"/>
      <c r="AB6" s="346"/>
      <c r="AC6" s="332"/>
      <c r="AD6" s="346"/>
      <c r="AE6" s="346"/>
      <c r="AF6" s="346"/>
      <c r="AG6" s="346"/>
      <c r="AH6" s="346"/>
      <c r="AI6" s="346"/>
      <c r="AJ6" s="346"/>
      <c r="AK6" s="346"/>
      <c r="AL6" s="346"/>
      <c r="AM6" s="346"/>
      <c r="AN6" s="346"/>
      <c r="AO6" s="346"/>
      <c r="AP6" s="346"/>
      <c r="AQ6" s="346"/>
      <c r="AR6" s="1596"/>
      <c r="AS6" s="1596"/>
      <c r="AT6" s="1596"/>
      <c r="AU6" s="1596"/>
      <c r="AV6" s="1596"/>
      <c r="AW6" s="1596"/>
    </row>
    <row r="7" spans="1:49" ht="18">
      <c r="A7" s="381" t="s">
        <v>958</v>
      </c>
      <c r="B7" s="338"/>
      <c r="C7" s="728"/>
      <c r="D7" s="332"/>
      <c r="E7" s="728"/>
      <c r="F7" s="332"/>
      <c r="G7" s="332"/>
      <c r="H7" s="332"/>
      <c r="I7" s="332"/>
      <c r="J7" s="332"/>
      <c r="K7" s="332"/>
      <c r="L7" s="346"/>
      <c r="M7" s="346"/>
      <c r="N7" s="346"/>
      <c r="O7" s="346"/>
      <c r="P7" s="346"/>
      <c r="Q7" s="346"/>
      <c r="R7" s="346"/>
      <c r="S7" s="346"/>
      <c r="T7" s="346"/>
      <c r="U7" s="346"/>
      <c r="V7" s="1994"/>
      <c r="W7" s="346"/>
      <c r="X7" s="1994"/>
      <c r="Y7" s="346"/>
      <c r="Z7" s="346"/>
      <c r="AA7" s="346"/>
      <c r="AB7" s="346"/>
      <c r="AC7" s="332"/>
      <c r="AD7" s="346"/>
      <c r="AE7" s="346"/>
      <c r="AF7" s="346"/>
      <c r="AG7" s="346"/>
      <c r="AH7" s="346"/>
      <c r="AI7" s="346"/>
      <c r="AJ7" s="346"/>
      <c r="AK7" s="346"/>
      <c r="AL7" s="346"/>
      <c r="AM7" s="346"/>
      <c r="AN7" s="346"/>
      <c r="AO7" s="346"/>
      <c r="AP7" s="346"/>
      <c r="AQ7" s="346"/>
      <c r="AR7" s="1596"/>
      <c r="AS7" s="1596"/>
      <c r="AT7" s="1596"/>
      <c r="AU7" s="1596"/>
      <c r="AV7" s="1596"/>
      <c r="AW7" s="1596"/>
    </row>
    <row r="8" spans="1:49" ht="15" customHeight="1">
      <c r="A8" s="383"/>
      <c r="B8" s="337"/>
      <c r="C8" s="728"/>
      <c r="D8" s="332"/>
      <c r="E8" s="728"/>
      <c r="F8" s="332"/>
      <c r="G8" s="332"/>
      <c r="H8" s="332"/>
      <c r="I8" s="332"/>
      <c r="J8" s="332"/>
      <c r="K8" s="332"/>
      <c r="L8" s="346"/>
      <c r="M8" s="346"/>
      <c r="N8" s="346"/>
      <c r="O8" s="346"/>
      <c r="P8" s="346"/>
      <c r="Q8" s="346"/>
      <c r="R8" s="346"/>
      <c r="S8" s="346"/>
      <c r="T8" s="346"/>
      <c r="U8" s="346"/>
      <c r="V8" s="1994"/>
      <c r="W8" s="346"/>
      <c r="X8" s="1994"/>
      <c r="Y8" s="346"/>
      <c r="Z8" s="346"/>
      <c r="AA8" s="346"/>
      <c r="AB8" s="346"/>
      <c r="AC8" s="332"/>
      <c r="AD8" s="346"/>
      <c r="AE8" s="346"/>
      <c r="AF8" s="346"/>
      <c r="AG8" s="346"/>
      <c r="AH8" s="346"/>
      <c r="AI8" s="346"/>
      <c r="AJ8" s="346"/>
      <c r="AK8" s="346"/>
      <c r="AL8" s="346"/>
      <c r="AM8" s="346"/>
      <c r="AN8" s="346"/>
      <c r="AO8" s="346"/>
      <c r="AP8" s="346"/>
      <c r="AQ8" s="346"/>
      <c r="AR8" s="1596"/>
      <c r="AS8" s="1596"/>
      <c r="AT8" s="1596"/>
      <c r="AU8" s="1596"/>
      <c r="AV8" s="1596"/>
      <c r="AW8" s="1596"/>
    </row>
    <row r="9" spans="1:49">
      <c r="A9" s="340"/>
      <c r="B9" s="346"/>
      <c r="C9" s="729"/>
      <c r="D9" s="332"/>
      <c r="E9" s="729"/>
      <c r="F9" s="332"/>
      <c r="G9" s="332"/>
      <c r="H9" s="332"/>
      <c r="I9" s="332"/>
      <c r="J9" s="332"/>
      <c r="K9" s="332"/>
      <c r="L9" s="346"/>
      <c r="M9" s="346"/>
      <c r="N9" s="346"/>
      <c r="O9" s="346"/>
      <c r="P9" s="346"/>
      <c r="Q9" s="346"/>
      <c r="R9" s="346"/>
      <c r="S9" s="346"/>
      <c r="T9" s="346"/>
      <c r="U9" s="346"/>
      <c r="V9" s="1994"/>
      <c r="W9" s="346"/>
      <c r="X9" s="1994"/>
      <c r="Y9" s="346"/>
      <c r="Z9" s="346"/>
      <c r="AA9" s="346"/>
      <c r="AB9" s="346"/>
      <c r="AC9" s="332"/>
      <c r="AD9" s="346"/>
      <c r="AE9" s="346"/>
      <c r="AF9" s="346"/>
      <c r="AG9" s="346"/>
      <c r="AH9" s="346"/>
      <c r="AI9" s="346"/>
      <c r="AJ9" s="346"/>
      <c r="AK9" s="346"/>
      <c r="AL9" s="346"/>
      <c r="AM9" s="346"/>
      <c r="AN9" s="346"/>
      <c r="AO9" s="346"/>
      <c r="AP9" s="346"/>
      <c r="AQ9" s="346"/>
      <c r="AR9" s="1596"/>
      <c r="AS9" s="1596"/>
      <c r="AT9" s="1596"/>
      <c r="AU9" s="1596"/>
      <c r="AV9" s="1596"/>
      <c r="AW9" s="1596"/>
    </row>
    <row r="10" spans="1:49">
      <c r="A10" s="340"/>
      <c r="B10" s="346"/>
      <c r="C10" s="729"/>
      <c r="D10" s="332"/>
      <c r="E10" s="729"/>
      <c r="F10" s="332"/>
      <c r="G10" s="332"/>
      <c r="H10" s="332"/>
      <c r="I10" s="332"/>
      <c r="J10" s="332"/>
      <c r="K10" s="332"/>
      <c r="L10" s="346"/>
      <c r="M10" s="346"/>
      <c r="N10" s="346"/>
      <c r="O10" s="346"/>
      <c r="P10" s="346"/>
      <c r="Q10" s="346"/>
      <c r="R10" s="346"/>
      <c r="S10" s="346"/>
      <c r="T10" s="346"/>
      <c r="U10" s="346"/>
      <c r="V10" s="1664"/>
      <c r="W10" s="337"/>
      <c r="X10" s="1664"/>
      <c r="Y10" s="337"/>
      <c r="Z10" s="337"/>
      <c r="AA10" s="337"/>
      <c r="AB10" s="337"/>
      <c r="AC10" s="332"/>
      <c r="AD10" s="346"/>
      <c r="AE10" s="346"/>
      <c r="AF10" s="346"/>
      <c r="AG10" s="346"/>
      <c r="AH10" s="346"/>
      <c r="AI10" s="346"/>
      <c r="AJ10" s="346"/>
      <c r="AK10" s="346"/>
      <c r="AL10" s="346"/>
      <c r="AM10" s="346"/>
      <c r="AN10" s="346"/>
      <c r="AO10" s="346"/>
      <c r="AP10" s="346"/>
      <c r="AQ10" s="346"/>
      <c r="AR10" s="1596"/>
      <c r="AS10" s="1596"/>
      <c r="AT10" s="1596"/>
      <c r="AU10" s="1596"/>
      <c r="AV10" s="1596"/>
      <c r="AW10" s="1596"/>
    </row>
    <row r="11" spans="1:49" ht="15.75">
      <c r="A11" s="1212"/>
      <c r="C11" s="3746" t="s">
        <v>1244</v>
      </c>
      <c r="D11" s="3746"/>
      <c r="E11" s="3746"/>
      <c r="F11" s="3746"/>
      <c r="G11" s="3746"/>
      <c r="H11" s="3746"/>
      <c r="I11" s="3746"/>
      <c r="J11" s="1988"/>
      <c r="K11" s="1988"/>
      <c r="L11" s="386"/>
      <c r="M11" s="384"/>
      <c r="N11" s="3746" t="s">
        <v>1245</v>
      </c>
      <c r="O11" s="3746"/>
      <c r="P11" s="3746"/>
      <c r="Q11" s="3746"/>
      <c r="R11" s="3746"/>
      <c r="S11" s="3746"/>
      <c r="T11" s="3746"/>
      <c r="U11" s="1997"/>
      <c r="V11" s="2300"/>
      <c r="W11" s="2323"/>
      <c r="X11" s="2323"/>
      <c r="Y11" s="2323"/>
      <c r="Z11" s="2323"/>
      <c r="AA11" s="2323"/>
      <c r="AB11" s="2323"/>
      <c r="AC11" s="341"/>
      <c r="AD11" s="384"/>
      <c r="AE11" s="384"/>
      <c r="AF11" s="384"/>
      <c r="AG11" s="384"/>
      <c r="AH11" s="384"/>
      <c r="AI11" s="384"/>
      <c r="AJ11" s="384"/>
      <c r="AK11" s="341"/>
      <c r="AL11" s="384"/>
      <c r="AM11" s="385"/>
      <c r="AN11" s="384"/>
      <c r="AO11" s="384"/>
      <c r="AP11" s="384"/>
      <c r="AQ11" s="384"/>
      <c r="AR11" s="1596"/>
      <c r="AS11" s="1596"/>
      <c r="AT11" s="1596"/>
      <c r="AU11" s="1596"/>
      <c r="AV11" s="1596"/>
      <c r="AW11" s="1596"/>
    </row>
    <row r="12" spans="1:49" ht="15.75">
      <c r="A12" s="1212"/>
      <c r="C12" s="730"/>
      <c r="D12" s="386"/>
      <c r="E12" s="730"/>
      <c r="F12" s="386"/>
      <c r="G12" s="387"/>
      <c r="H12" s="386"/>
      <c r="I12" s="386" t="s">
        <v>86</v>
      </c>
      <c r="J12" s="386"/>
      <c r="K12" s="386" t="s">
        <v>86</v>
      </c>
      <c r="L12" s="386"/>
      <c r="M12" s="2022"/>
      <c r="N12" s="730"/>
      <c r="O12" s="386"/>
      <c r="P12" s="730"/>
      <c r="Q12" s="386"/>
      <c r="R12" s="387"/>
      <c r="S12" s="386"/>
      <c r="T12" s="386" t="s">
        <v>86</v>
      </c>
      <c r="U12" s="384"/>
      <c r="V12" s="386" t="s">
        <v>86</v>
      </c>
      <c r="W12" s="386"/>
      <c r="X12" s="733"/>
      <c r="Y12" s="386"/>
      <c r="Z12" s="387"/>
      <c r="AA12" s="386"/>
      <c r="AB12" s="386"/>
      <c r="AC12" s="341"/>
      <c r="AD12" s="384"/>
      <c r="AE12" s="384"/>
      <c r="AF12" s="384"/>
      <c r="AG12" s="384"/>
      <c r="AH12" s="384"/>
      <c r="AI12" s="384"/>
      <c r="AJ12" s="384"/>
      <c r="AK12" s="341"/>
      <c r="AL12" s="384"/>
      <c r="AM12" s="385"/>
      <c r="AN12" s="384"/>
      <c r="AO12" s="384"/>
      <c r="AP12" s="384"/>
      <c r="AQ12" s="384"/>
      <c r="AR12" s="1596"/>
      <c r="AS12" s="1596"/>
      <c r="AT12" s="1596"/>
      <c r="AU12" s="1596"/>
      <c r="AV12" s="1596"/>
      <c r="AW12" s="1596"/>
    </row>
    <row r="13" spans="1:49" ht="15.75">
      <c r="A13" s="1212"/>
      <c r="B13" s="341"/>
      <c r="C13" s="731"/>
      <c r="D13" s="388"/>
      <c r="E13" s="731"/>
      <c r="F13" s="388"/>
      <c r="G13" s="388"/>
      <c r="H13" s="388"/>
      <c r="I13" s="389" t="s">
        <v>965</v>
      </c>
      <c r="J13" s="389"/>
      <c r="K13" s="389" t="s">
        <v>965</v>
      </c>
      <c r="L13" s="1667"/>
      <c r="M13" s="2023"/>
      <c r="N13" s="731"/>
      <c r="O13" s="388"/>
      <c r="P13" s="731"/>
      <c r="Q13" s="388"/>
      <c r="R13" s="388"/>
      <c r="S13" s="388"/>
      <c r="T13" s="389" t="s">
        <v>965</v>
      </c>
      <c r="U13" s="391"/>
      <c r="V13" s="389" t="s">
        <v>965</v>
      </c>
      <c r="W13" s="1666"/>
      <c r="X13" s="1665"/>
      <c r="Y13" s="1666"/>
      <c r="Z13" s="1666"/>
      <c r="AA13" s="1666"/>
      <c r="AB13" s="1667"/>
      <c r="AC13" s="341"/>
      <c r="AD13" s="341"/>
      <c r="AE13" s="341"/>
      <c r="AF13" s="341"/>
      <c r="AG13" s="341"/>
      <c r="AH13" s="341"/>
      <c r="AI13" s="390"/>
      <c r="AJ13" s="391"/>
      <c r="AK13" s="341"/>
      <c r="AL13" s="341"/>
      <c r="AM13" s="341"/>
      <c r="AN13" s="341"/>
      <c r="AO13" s="341"/>
      <c r="AP13" s="341"/>
      <c r="AQ13" s="390"/>
      <c r="AR13" s="1596"/>
      <c r="AS13" s="1596"/>
      <c r="AT13" s="1596"/>
      <c r="AU13" s="1596"/>
      <c r="AV13" s="1596"/>
      <c r="AW13" s="1596"/>
    </row>
    <row r="14" spans="1:49" ht="15.75">
      <c r="A14" s="1212"/>
      <c r="B14" s="392"/>
      <c r="C14" s="344" t="s">
        <v>1190</v>
      </c>
      <c r="D14" s="1596"/>
      <c r="E14" s="343" t="s">
        <v>1191</v>
      </c>
      <c r="F14" s="342"/>
      <c r="G14" s="342"/>
      <c r="H14" s="342"/>
      <c r="I14" s="343" t="s">
        <v>87</v>
      </c>
      <c r="J14" s="343"/>
      <c r="K14" s="343" t="s">
        <v>87</v>
      </c>
      <c r="L14" s="391"/>
      <c r="M14" s="2023"/>
      <c r="N14" s="344" t="s">
        <v>1190</v>
      </c>
      <c r="O14" s="1596"/>
      <c r="P14" s="343" t="s">
        <v>1191</v>
      </c>
      <c r="Q14" s="342"/>
      <c r="R14" s="342"/>
      <c r="S14" s="342"/>
      <c r="T14" s="343" t="s">
        <v>87</v>
      </c>
      <c r="U14" s="391"/>
      <c r="V14" s="343" t="s">
        <v>87</v>
      </c>
      <c r="W14" s="1214"/>
      <c r="X14" s="391"/>
      <c r="Y14" s="341"/>
      <c r="Z14" s="341"/>
      <c r="AA14" s="341"/>
      <c r="AB14" s="391"/>
      <c r="AC14" s="341"/>
      <c r="AD14" s="390"/>
      <c r="AE14" s="391"/>
      <c r="AF14" s="341"/>
      <c r="AG14" s="341"/>
      <c r="AH14" s="341"/>
      <c r="AI14" s="390"/>
      <c r="AJ14" s="391"/>
      <c r="AK14" s="341"/>
      <c r="AL14" s="390"/>
      <c r="AM14" s="391"/>
      <c r="AN14" s="341"/>
      <c r="AO14" s="341"/>
      <c r="AP14" s="341"/>
      <c r="AQ14" s="390"/>
      <c r="AR14" s="1596"/>
      <c r="AS14" s="1596"/>
      <c r="AT14" s="1596"/>
      <c r="AU14" s="1596"/>
      <c r="AV14" s="1596"/>
      <c r="AW14" s="1596"/>
    </row>
    <row r="15" spans="1:49" ht="15.75">
      <c r="A15" s="1212"/>
      <c r="B15" s="392"/>
      <c r="C15" s="343" t="s">
        <v>1232</v>
      </c>
      <c r="D15" s="342"/>
      <c r="E15" s="343" t="s">
        <v>1232</v>
      </c>
      <c r="F15" s="342"/>
      <c r="G15" s="342"/>
      <c r="H15" s="342"/>
      <c r="I15" s="343" t="s">
        <v>1190</v>
      </c>
      <c r="J15" s="343"/>
      <c r="K15" s="343" t="s">
        <v>1191</v>
      </c>
      <c r="L15" s="391"/>
      <c r="M15" s="2023"/>
      <c r="N15" s="343" t="s">
        <v>1232</v>
      </c>
      <c r="O15" s="342"/>
      <c r="P15" s="343" t="s">
        <v>1232</v>
      </c>
      <c r="Q15" s="342"/>
      <c r="R15" s="342"/>
      <c r="S15" s="342"/>
      <c r="T15" s="343" t="s">
        <v>1190</v>
      </c>
      <c r="U15" s="391"/>
      <c r="V15" s="343" t="s">
        <v>1191</v>
      </c>
      <c r="W15" s="341"/>
      <c r="X15" s="391"/>
      <c r="Y15" s="341"/>
      <c r="Z15" s="341"/>
      <c r="AA15" s="341"/>
      <c r="AB15" s="391"/>
      <c r="AC15" s="341"/>
      <c r="AD15" s="390"/>
      <c r="AE15" s="391"/>
      <c r="AF15" s="341"/>
      <c r="AG15" s="341"/>
      <c r="AH15" s="341"/>
      <c r="AI15" s="390"/>
      <c r="AJ15" s="391"/>
      <c r="AK15" s="341"/>
      <c r="AL15" s="390"/>
      <c r="AM15" s="391"/>
      <c r="AN15" s="341"/>
      <c r="AO15" s="341"/>
      <c r="AP15" s="341"/>
      <c r="AQ15" s="390"/>
      <c r="AR15" s="1596"/>
      <c r="AS15" s="1596"/>
      <c r="AT15" s="1596"/>
      <c r="AU15" s="1596"/>
      <c r="AV15" s="1596"/>
      <c r="AW15" s="1596"/>
    </row>
    <row r="16" spans="1:49" ht="15.75">
      <c r="A16" s="1212"/>
      <c r="B16" s="391"/>
      <c r="C16" s="343" t="s">
        <v>1233</v>
      </c>
      <c r="D16" s="342"/>
      <c r="E16" s="343" t="s">
        <v>1524</v>
      </c>
      <c r="F16" s="342"/>
      <c r="G16" s="344" t="s">
        <v>86</v>
      </c>
      <c r="H16" s="342"/>
      <c r="I16" s="343" t="s">
        <v>88</v>
      </c>
      <c r="J16" s="391"/>
      <c r="K16" s="343" t="s">
        <v>88</v>
      </c>
      <c r="L16" s="391"/>
      <c r="M16" s="2030"/>
      <c r="N16" s="2031" t="s">
        <v>1233</v>
      </c>
      <c r="O16" s="342"/>
      <c r="P16" s="343" t="s">
        <v>1524</v>
      </c>
      <c r="Q16" s="342"/>
      <c r="R16" s="344" t="s">
        <v>86</v>
      </c>
      <c r="S16" s="342"/>
      <c r="T16" s="343" t="s">
        <v>88</v>
      </c>
      <c r="U16" s="391"/>
      <c r="V16" s="343" t="s">
        <v>88</v>
      </c>
      <c r="W16" s="341"/>
      <c r="X16" s="391"/>
      <c r="Y16" s="341"/>
      <c r="Z16" s="390"/>
      <c r="AA16" s="341"/>
      <c r="AB16" s="391"/>
      <c r="AC16" s="341"/>
      <c r="AD16" s="391"/>
      <c r="AE16" s="391"/>
      <c r="AF16" s="341"/>
      <c r="AG16" s="390"/>
      <c r="AH16" s="341"/>
      <c r="AI16" s="390"/>
      <c r="AJ16" s="391"/>
      <c r="AK16" s="341"/>
      <c r="AL16" s="391"/>
      <c r="AM16" s="391"/>
      <c r="AN16" s="341"/>
      <c r="AO16" s="390"/>
      <c r="AP16" s="341"/>
      <c r="AQ16" s="390"/>
      <c r="AR16" s="1596"/>
      <c r="AS16" s="1596"/>
      <c r="AT16" s="1596"/>
      <c r="AU16" s="1596"/>
      <c r="AV16" s="1596"/>
      <c r="AW16" s="1596"/>
    </row>
    <row r="17" spans="1:49">
      <c r="A17" s="345"/>
      <c r="B17" s="346"/>
      <c r="C17" s="347"/>
      <c r="D17" s="332"/>
      <c r="E17" s="347"/>
      <c r="F17" s="332"/>
      <c r="G17" s="347"/>
      <c r="H17" s="332"/>
      <c r="I17" s="347"/>
      <c r="J17" s="346"/>
      <c r="K17" s="347"/>
      <c r="L17" s="346"/>
      <c r="M17" s="2024"/>
      <c r="N17" s="346"/>
      <c r="O17" s="332"/>
      <c r="P17" s="347"/>
      <c r="Q17" s="332"/>
      <c r="R17" s="347"/>
      <c r="S17" s="332"/>
      <c r="T17" s="347"/>
      <c r="U17" s="346"/>
      <c r="V17" s="347"/>
      <c r="W17" s="346"/>
      <c r="X17" s="346"/>
      <c r="Y17" s="346"/>
      <c r="Z17" s="346"/>
      <c r="AA17" s="346"/>
      <c r="AB17" s="346"/>
      <c r="AC17" s="346"/>
      <c r="AD17" s="346"/>
      <c r="AE17" s="346"/>
      <c r="AF17" s="346"/>
      <c r="AG17" s="346"/>
      <c r="AH17" s="346"/>
      <c r="AI17" s="346"/>
      <c r="AJ17" s="346"/>
      <c r="AK17" s="346"/>
      <c r="AL17" s="346"/>
      <c r="AM17" s="346"/>
      <c r="AN17" s="346"/>
      <c r="AO17" s="346"/>
      <c r="AP17" s="346"/>
      <c r="AQ17" s="346"/>
      <c r="AR17" s="1596"/>
      <c r="AS17" s="1596"/>
      <c r="AT17" s="1596"/>
      <c r="AU17" s="1596"/>
      <c r="AV17" s="1596"/>
      <c r="AW17" s="1596"/>
    </row>
    <row r="18" spans="1:49" ht="15.75">
      <c r="A18" s="216" t="s">
        <v>14</v>
      </c>
      <c r="B18" s="1589"/>
      <c r="C18" s="1115"/>
      <c r="D18" s="1115"/>
      <c r="E18" s="1115"/>
      <c r="F18" s="1115"/>
      <c r="G18" s="1115"/>
      <c r="H18" s="1115"/>
      <c r="I18" s="1589"/>
      <c r="J18" s="1115"/>
      <c r="K18" s="1589"/>
      <c r="L18" s="1589"/>
      <c r="M18" s="2025"/>
      <c r="N18" s="1115"/>
      <c r="O18" s="1115"/>
      <c r="P18" s="1115"/>
      <c r="Q18" s="1115"/>
      <c r="R18" s="1115"/>
      <c r="S18" s="1115"/>
      <c r="T18" s="1115"/>
      <c r="U18" s="1589"/>
      <c r="V18" s="1589"/>
      <c r="W18" s="1589"/>
      <c r="X18" s="1589"/>
      <c r="Y18" s="1589"/>
      <c r="Z18" s="1589"/>
      <c r="AA18" s="1589"/>
      <c r="AB18" s="1589"/>
      <c r="AC18" s="1589"/>
      <c r="AD18" s="1589"/>
      <c r="AE18" s="1589"/>
      <c r="AF18" s="1589"/>
      <c r="AG18" s="1589"/>
      <c r="AH18" s="1589"/>
      <c r="AI18" s="1589"/>
      <c r="AJ18" s="1589"/>
      <c r="AK18" s="1589"/>
      <c r="AL18" s="1589"/>
      <c r="AM18" s="1589"/>
      <c r="AN18" s="1589"/>
      <c r="AO18" s="1589"/>
      <c r="AP18" s="1589"/>
      <c r="AQ18" s="1589"/>
      <c r="AR18" s="1596"/>
      <c r="AS18" s="1596"/>
      <c r="AT18" s="1596"/>
      <c r="AU18" s="1596"/>
      <c r="AV18" s="1596"/>
      <c r="AW18" s="1596"/>
    </row>
    <row r="19" spans="1:49">
      <c r="A19" s="1443" t="s">
        <v>89</v>
      </c>
      <c r="B19" s="1590"/>
      <c r="C19" s="1115"/>
      <c r="D19" s="1590"/>
      <c r="E19" s="1115"/>
      <c r="F19" s="1590"/>
      <c r="G19" s="1115"/>
      <c r="H19" s="1590"/>
      <c r="I19" s="1589"/>
      <c r="J19" s="1115"/>
      <c r="K19" s="1589"/>
      <c r="L19" s="1589"/>
      <c r="M19" s="2025"/>
      <c r="N19" s="1115"/>
      <c r="O19" s="1590"/>
      <c r="P19" s="1115"/>
      <c r="Q19" s="1590"/>
      <c r="R19" s="1115"/>
      <c r="S19" s="1590"/>
      <c r="T19" s="1115"/>
      <c r="U19" s="1589"/>
      <c r="V19" s="1589"/>
      <c r="W19" s="1589"/>
      <c r="X19" s="1589"/>
      <c r="Y19" s="1589"/>
      <c r="Z19" s="1589"/>
      <c r="AA19" s="1610"/>
      <c r="AB19" s="1589"/>
      <c r="AC19" s="1589"/>
      <c r="AD19" s="1589"/>
      <c r="AE19" s="1589"/>
      <c r="AF19" s="1589"/>
      <c r="AG19" s="1589"/>
      <c r="AH19" s="1589"/>
      <c r="AI19" s="1589"/>
      <c r="AJ19" s="1589"/>
      <c r="AK19" s="1589"/>
      <c r="AL19" s="1589"/>
      <c r="AM19" s="1589"/>
      <c r="AN19" s="1589"/>
      <c r="AO19" s="1589"/>
      <c r="AP19" s="1589"/>
      <c r="AQ19" s="1589"/>
      <c r="AR19" s="1596"/>
      <c r="AS19" s="1596"/>
      <c r="AT19" s="1596"/>
      <c r="AU19" s="1596"/>
      <c r="AV19" s="1596"/>
      <c r="AW19" s="1596"/>
    </row>
    <row r="20" spans="1:49">
      <c r="A20" s="1443" t="s">
        <v>90</v>
      </c>
      <c r="B20" s="1590" t="s">
        <v>15</v>
      </c>
      <c r="C20" s="3386">
        <v>0</v>
      </c>
      <c r="D20" s="1118"/>
      <c r="E20" s="3386">
        <v>0</v>
      </c>
      <c r="F20" s="1118"/>
      <c r="G20" s="1116">
        <f>'Exhibit G state'!AD17</f>
        <v>0</v>
      </c>
      <c r="H20" s="1118"/>
      <c r="I20" s="1671">
        <f>ROUND(SUM(G20)-SUM(C20),1)</f>
        <v>0</v>
      </c>
      <c r="J20" s="1116"/>
      <c r="K20" s="1671">
        <f>ROUND(SUM(G20)-SUM(E20),1)</f>
        <v>0</v>
      </c>
      <c r="L20" s="1671"/>
      <c r="M20" s="2025"/>
      <c r="N20" s="3386">
        <v>0</v>
      </c>
      <c r="O20" s="1542"/>
      <c r="P20" s="3386">
        <v>0</v>
      </c>
      <c r="Q20" s="1118"/>
      <c r="R20" s="1116">
        <v>0</v>
      </c>
      <c r="S20" s="1118"/>
      <c r="T20" s="1671">
        <f>ROUND(SUM(R20)-SUM(N20),1)</f>
        <v>0</v>
      </c>
      <c r="U20" s="1589"/>
      <c r="V20" s="1671">
        <f>ROUND(SUM(R20)-SUM(P20),1)</f>
        <v>0</v>
      </c>
      <c r="W20" s="1669"/>
      <c r="X20" s="1672"/>
      <c r="Y20" s="1669"/>
      <c r="Z20" s="1670"/>
      <c r="AA20" s="1669"/>
      <c r="AB20" s="1671"/>
      <c r="AC20" s="1589"/>
      <c r="AD20" s="1589"/>
      <c r="AE20" s="1589"/>
      <c r="AF20" s="1589"/>
      <c r="AG20" s="1589"/>
      <c r="AH20" s="1589"/>
      <c r="AI20" s="1589"/>
      <c r="AJ20" s="1589"/>
      <c r="AK20" s="1589"/>
      <c r="AL20" s="1589"/>
      <c r="AM20" s="1589"/>
      <c r="AN20" s="1589"/>
      <c r="AO20" s="1589"/>
      <c r="AP20" s="1589"/>
      <c r="AQ20" s="1589"/>
      <c r="AR20" s="1596"/>
      <c r="AS20" s="1596"/>
      <c r="AT20" s="1596"/>
      <c r="AU20" s="1596"/>
      <c r="AV20" s="1596"/>
      <c r="AW20" s="1596"/>
    </row>
    <row r="21" spans="1:49">
      <c r="A21" s="1443" t="s">
        <v>91</v>
      </c>
      <c r="B21" s="1589" t="s">
        <v>15</v>
      </c>
      <c r="C21" s="1894">
        <v>183</v>
      </c>
      <c r="D21" s="2502"/>
      <c r="E21" s="1894">
        <v>0</v>
      </c>
      <c r="F21" s="1042"/>
      <c r="G21" s="1042">
        <f>'Exhibit G state'!AD28</f>
        <v>186.4</v>
      </c>
      <c r="H21" s="1042"/>
      <c r="I21" s="2502">
        <f t="shared" ref="I21:I26" si="0">ROUND(SUM(G21)-SUM(C21),1)</f>
        <v>3.4</v>
      </c>
      <c r="J21" s="1042"/>
      <c r="K21" s="1608">
        <v>0</v>
      </c>
      <c r="L21" s="1608"/>
      <c r="M21" s="2025"/>
      <c r="N21" s="1894">
        <v>0</v>
      </c>
      <c r="O21" s="1544"/>
      <c r="P21" s="1894">
        <v>0</v>
      </c>
      <c r="Q21" s="1042"/>
      <c r="R21" s="1042">
        <v>0</v>
      </c>
      <c r="S21" s="1042"/>
      <c r="T21" s="2502">
        <f t="shared" ref="T21:T26" si="1">ROUND(SUM(R21)-SUM(N21),1)</f>
        <v>0</v>
      </c>
      <c r="U21" s="1589"/>
      <c r="V21" s="1608">
        <f t="shared" ref="V21:V26" si="2">ROUND(SUM(R21)-SUM(P21),1)</f>
        <v>0</v>
      </c>
      <c r="W21" s="1608"/>
      <c r="X21" s="1672"/>
      <c r="Y21" s="1608"/>
      <c r="Z21" s="1608"/>
      <c r="AA21" s="1608"/>
      <c r="AB21" s="1608"/>
      <c r="AC21" s="1608"/>
      <c r="AD21" s="1608"/>
      <c r="AE21" s="1589"/>
      <c r="AF21" s="1589"/>
      <c r="AG21" s="1589"/>
      <c r="AH21" s="1589"/>
      <c r="AI21" s="1589"/>
      <c r="AJ21" s="1589"/>
      <c r="AK21" s="1589"/>
      <c r="AL21" s="1589"/>
      <c r="AM21" s="1589"/>
      <c r="AN21" s="1589"/>
      <c r="AO21" s="1589"/>
      <c r="AP21" s="1589"/>
      <c r="AQ21" s="1589"/>
      <c r="AR21" s="1596"/>
      <c r="AS21" s="1596"/>
      <c r="AT21" s="1596"/>
      <c r="AU21" s="1596"/>
      <c r="AV21" s="1596"/>
      <c r="AW21" s="1596"/>
    </row>
    <row r="22" spans="1:49">
      <c r="A22" s="1443" t="s">
        <v>92</v>
      </c>
      <c r="B22" s="1590" t="s">
        <v>15</v>
      </c>
      <c r="C22" s="1894">
        <v>158</v>
      </c>
      <c r="D22" s="1188"/>
      <c r="E22" s="1894">
        <v>0</v>
      </c>
      <c r="F22" s="1188"/>
      <c r="G22" s="1042">
        <f>'Exhibit G state'!AD35</f>
        <v>172</v>
      </c>
      <c r="H22" s="1188"/>
      <c r="I22" s="2502">
        <f t="shared" si="0"/>
        <v>14</v>
      </c>
      <c r="J22" s="1042"/>
      <c r="K22" s="1608">
        <v>0</v>
      </c>
      <c r="L22" s="1608"/>
      <c r="M22" s="2025"/>
      <c r="N22" s="1894">
        <v>0</v>
      </c>
      <c r="O22" s="1206"/>
      <c r="P22" s="1894">
        <v>0</v>
      </c>
      <c r="Q22" s="1188"/>
      <c r="R22" s="1597">
        <v>0</v>
      </c>
      <c r="S22" s="1188"/>
      <c r="T22" s="2502">
        <f t="shared" si="1"/>
        <v>0</v>
      </c>
      <c r="U22" s="1589"/>
      <c r="V22" s="1608">
        <f t="shared" si="2"/>
        <v>0</v>
      </c>
      <c r="W22" s="1609"/>
      <c r="X22" s="1672"/>
      <c r="Y22" s="1609"/>
      <c r="Z22" s="1608"/>
      <c r="AA22" s="1609"/>
      <c r="AB22" s="1608"/>
      <c r="AC22" s="1609"/>
      <c r="AD22" s="1608"/>
      <c r="AE22" s="1589"/>
      <c r="AF22" s="1610"/>
      <c r="AG22" s="1589"/>
      <c r="AH22" s="1610"/>
      <c r="AI22" s="1589"/>
      <c r="AJ22" s="1589"/>
      <c r="AK22" s="1610"/>
      <c r="AL22" s="1589"/>
      <c r="AM22" s="1589"/>
      <c r="AN22" s="1610"/>
      <c r="AO22" s="393"/>
      <c r="AP22" s="1610"/>
      <c r="AQ22" s="1589"/>
      <c r="AR22" s="1596"/>
      <c r="AS22" s="1596"/>
      <c r="AT22" s="1596"/>
      <c r="AU22" s="1596"/>
      <c r="AV22" s="1596"/>
      <c r="AW22" s="1596"/>
    </row>
    <row r="23" spans="1:49">
      <c r="A23" s="1443" t="s">
        <v>93</v>
      </c>
      <c r="B23" s="1589" t="s">
        <v>15</v>
      </c>
      <c r="C23" s="1894">
        <v>0</v>
      </c>
      <c r="D23" s="2502"/>
      <c r="E23" s="1894">
        <v>0</v>
      </c>
      <c r="F23" s="1042"/>
      <c r="G23" s="1042">
        <f>'Exhibit G state'!AD38</f>
        <v>0</v>
      </c>
      <c r="H23" s="1042"/>
      <c r="I23" s="2502">
        <f t="shared" si="0"/>
        <v>0</v>
      </c>
      <c r="J23" s="1042"/>
      <c r="K23" s="1608">
        <f t="shared" ref="K23" si="3">ROUND(SUM(G23)-SUM(E23),1)</f>
        <v>0</v>
      </c>
      <c r="L23" s="1608"/>
      <c r="M23" s="2025"/>
      <c r="N23" s="1894">
        <v>0</v>
      </c>
      <c r="O23" s="1544"/>
      <c r="P23" s="1894">
        <v>0</v>
      </c>
      <c r="Q23" s="1042"/>
      <c r="R23" s="1042">
        <v>0</v>
      </c>
      <c r="S23" s="1042"/>
      <c r="T23" s="2502">
        <f t="shared" si="1"/>
        <v>0</v>
      </c>
      <c r="U23" s="1589"/>
      <c r="V23" s="1608">
        <f t="shared" si="2"/>
        <v>0</v>
      </c>
      <c r="W23" s="1608"/>
      <c r="X23" s="1672"/>
      <c r="Y23" s="1608"/>
      <c r="Z23" s="1608"/>
      <c r="AA23" s="1608"/>
      <c r="AB23" s="1608"/>
      <c r="AC23" s="1608"/>
      <c r="AD23" s="1608"/>
      <c r="AE23" s="1589"/>
      <c r="AF23" s="1589"/>
      <c r="AG23" s="1589"/>
      <c r="AH23" s="1589"/>
      <c r="AI23" s="1589"/>
      <c r="AJ23" s="1589"/>
      <c r="AK23" s="1589"/>
      <c r="AL23" s="1589"/>
      <c r="AM23" s="1589"/>
      <c r="AN23" s="1589"/>
      <c r="AO23" s="1589"/>
      <c r="AP23" s="1589"/>
      <c r="AQ23" s="1589"/>
      <c r="AR23" s="1596"/>
      <c r="AS23" s="1596"/>
      <c r="AT23" s="1596"/>
      <c r="AU23" s="1596"/>
      <c r="AV23" s="1596"/>
      <c r="AW23" s="1596"/>
    </row>
    <row r="24" spans="1:49" ht="15" customHeight="1">
      <c r="A24" s="1443" t="s">
        <v>20</v>
      </c>
      <c r="B24" s="1589" t="s">
        <v>15</v>
      </c>
      <c r="C24" s="1894">
        <v>1648</v>
      </c>
      <c r="D24" s="1607"/>
      <c r="E24" s="1894">
        <v>0</v>
      </c>
      <c r="F24" s="1607"/>
      <c r="G24" s="1042">
        <f>'Exhibit G state'!AD82</f>
        <v>1523.5</v>
      </c>
      <c r="H24" s="1042"/>
      <c r="I24" s="2502">
        <f t="shared" si="0"/>
        <v>-124.5</v>
      </c>
      <c r="J24" s="1042"/>
      <c r="K24" s="1608">
        <v>0</v>
      </c>
      <c r="L24" s="1608"/>
      <c r="M24" s="2025"/>
      <c r="N24" s="1894">
        <v>5</v>
      </c>
      <c r="O24" s="3285"/>
      <c r="P24" s="1894">
        <v>0</v>
      </c>
      <c r="Q24" s="1607"/>
      <c r="R24" s="1208">
        <f>'Exhibit G Federal'!AD52</f>
        <v>14</v>
      </c>
      <c r="S24" s="1042"/>
      <c r="T24" s="2502">
        <f t="shared" si="1"/>
        <v>9</v>
      </c>
      <c r="U24" s="1589"/>
      <c r="V24" s="1608">
        <v>0</v>
      </c>
      <c r="W24" s="1608"/>
      <c r="X24" s="1672"/>
      <c r="Y24" s="1608"/>
      <c r="Z24" s="1608"/>
      <c r="AA24" s="1608"/>
      <c r="AB24" s="1608"/>
      <c r="AC24" s="1608"/>
      <c r="AD24" s="1608"/>
      <c r="AE24" s="1589"/>
      <c r="AF24" s="1589"/>
      <c r="AG24" s="1589"/>
      <c r="AH24" s="1589"/>
      <c r="AI24" s="1589"/>
      <c r="AJ24" s="1589"/>
      <c r="AK24" s="1589"/>
      <c r="AL24" s="1589"/>
      <c r="AM24" s="1589"/>
      <c r="AN24" s="1589"/>
      <c r="AO24" s="1589"/>
      <c r="AP24" s="1589"/>
      <c r="AQ24" s="1589"/>
      <c r="AR24" s="1596"/>
      <c r="AS24" s="1596"/>
      <c r="AT24" s="1596"/>
      <c r="AU24" s="1596"/>
      <c r="AV24" s="1596"/>
      <c r="AW24" s="1596"/>
    </row>
    <row r="25" spans="1:49" ht="15" customHeight="1">
      <c r="A25" s="1443" t="s">
        <v>21</v>
      </c>
      <c r="B25" s="1589" t="s">
        <v>15</v>
      </c>
      <c r="C25" s="1894">
        <v>-3</v>
      </c>
      <c r="D25" s="2502"/>
      <c r="E25" s="1894">
        <v>0</v>
      </c>
      <c r="F25" s="1042"/>
      <c r="G25" s="1208">
        <f>'Exhibit G state'!AD84</f>
        <v>-2.6</v>
      </c>
      <c r="H25" s="1042"/>
      <c r="I25" s="2502">
        <f t="shared" si="0"/>
        <v>0.4</v>
      </c>
      <c r="J25" s="1042"/>
      <c r="K25" s="1608">
        <v>0</v>
      </c>
      <c r="L25" s="1608"/>
      <c r="M25" s="2025"/>
      <c r="N25" s="1894">
        <v>3560</v>
      </c>
      <c r="O25" s="1544"/>
      <c r="P25" s="1894">
        <v>0</v>
      </c>
      <c r="Q25" s="1042"/>
      <c r="R25" s="1208">
        <f>'Exhibit G Federal'!AD54</f>
        <v>3559.9</v>
      </c>
      <c r="S25" s="1042"/>
      <c r="T25" s="2502">
        <f t="shared" si="1"/>
        <v>-0.1</v>
      </c>
      <c r="U25" s="1589"/>
      <c r="V25" s="1608">
        <v>0</v>
      </c>
      <c r="W25" s="1608"/>
      <c r="X25" s="1672"/>
      <c r="Y25" s="1608"/>
      <c r="Z25" s="1608"/>
      <c r="AA25" s="1608"/>
      <c r="AB25" s="1608"/>
      <c r="AC25" s="1608"/>
      <c r="AD25" s="1611"/>
      <c r="AE25" s="1612"/>
      <c r="AF25" s="1589"/>
      <c r="AG25" s="1612"/>
      <c r="AH25" s="1589"/>
      <c r="AI25" s="1612"/>
      <c r="AJ25" s="1613"/>
      <c r="AK25" s="1589"/>
      <c r="AL25" s="1589"/>
      <c r="AM25" s="1589"/>
      <c r="AN25" s="1589"/>
      <c r="AO25" s="1589"/>
      <c r="AP25" s="1589"/>
      <c r="AQ25" s="1589"/>
      <c r="AR25" s="1596"/>
      <c r="AS25" s="1596"/>
      <c r="AT25" s="1596"/>
      <c r="AU25" s="1596"/>
      <c r="AV25" s="1596"/>
      <c r="AW25" s="1596"/>
    </row>
    <row r="26" spans="1:49">
      <c r="A26" s="1443" t="s">
        <v>48</v>
      </c>
      <c r="B26" s="1613" t="s">
        <v>15</v>
      </c>
      <c r="C26" s="1894">
        <v>334</v>
      </c>
      <c r="D26" s="1608"/>
      <c r="E26" s="1894">
        <v>0</v>
      </c>
      <c r="F26" s="1608"/>
      <c r="G26" s="1748">
        <f>'Exhibit G state'!AD113</f>
        <v>381.9</v>
      </c>
      <c r="H26" s="1042"/>
      <c r="I26" s="2502">
        <f t="shared" si="0"/>
        <v>47.9</v>
      </c>
      <c r="J26" s="1608"/>
      <c r="K26" s="1608">
        <v>0</v>
      </c>
      <c r="L26" s="1608"/>
      <c r="M26" s="2026"/>
      <c r="N26" s="1894">
        <v>0</v>
      </c>
      <c r="O26" s="1544"/>
      <c r="P26" s="1894">
        <v>0</v>
      </c>
      <c r="Q26" s="1608"/>
      <c r="R26" s="1748">
        <f>+'Exhibit G Federal'!AD83</f>
        <v>0</v>
      </c>
      <c r="S26" s="1042"/>
      <c r="T26" s="2502">
        <f t="shared" si="1"/>
        <v>0</v>
      </c>
      <c r="U26" s="1613"/>
      <c r="V26" s="1608">
        <f t="shared" si="2"/>
        <v>0</v>
      </c>
      <c r="W26" s="1608"/>
      <c r="X26" s="1672"/>
      <c r="Y26" s="1608"/>
      <c r="Z26" s="1609"/>
      <c r="AA26" s="1608"/>
      <c r="AB26" s="1608"/>
      <c r="AC26" s="1608"/>
      <c r="AD26" s="1611"/>
      <c r="AE26" s="1612"/>
      <c r="AF26" s="1589"/>
      <c r="AG26" s="1612"/>
      <c r="AH26" s="1589"/>
      <c r="AI26" s="1612"/>
      <c r="AJ26" s="1613"/>
      <c r="AK26" s="1589"/>
      <c r="AL26" s="1589"/>
      <c r="AM26" s="1589"/>
      <c r="AN26" s="1589"/>
      <c r="AO26" s="1589"/>
      <c r="AP26" s="1589"/>
      <c r="AQ26" s="1589"/>
      <c r="AR26" s="1596"/>
      <c r="AS26" s="1596"/>
      <c r="AT26" s="1596"/>
      <c r="AU26" s="1596"/>
      <c r="AV26" s="1596"/>
      <c r="AW26" s="1596"/>
    </row>
    <row r="27" spans="1:49" ht="18" customHeight="1">
      <c r="A27" s="363" t="s">
        <v>110</v>
      </c>
      <c r="B27" s="341" t="s">
        <v>15</v>
      </c>
      <c r="C27" s="406">
        <f>ROUND(SUM(C20:C26),1)</f>
        <v>2320</v>
      </c>
      <c r="D27" s="1587"/>
      <c r="E27" s="406">
        <f>ROUND(SUM(E20:E26),1)</f>
        <v>0</v>
      </c>
      <c r="F27" s="1587"/>
      <c r="G27" s="406">
        <f>ROUND(SUM(G20:G26),1)</f>
        <v>2261.1999999999998</v>
      </c>
      <c r="H27" s="1587"/>
      <c r="I27" s="2521">
        <f>ROUND(SUM(I20:I26),1)</f>
        <v>-58.8</v>
      </c>
      <c r="J27" s="264"/>
      <c r="K27" s="2521">
        <f>ROUND(SUM(K20:K26),1)</f>
        <v>0</v>
      </c>
      <c r="L27" s="264"/>
      <c r="M27" s="2025"/>
      <c r="N27" s="406">
        <f>ROUND(SUM(N20:N26),1)</f>
        <v>3565</v>
      </c>
      <c r="O27" s="1587"/>
      <c r="P27" s="406">
        <f>ROUND(SUM(P20:P26),1)</f>
        <v>0</v>
      </c>
      <c r="Q27" s="1587"/>
      <c r="R27" s="517">
        <f>ROUND(SUM(R20:R26),1)</f>
        <v>3573.9</v>
      </c>
      <c r="S27" s="1587"/>
      <c r="T27" s="517">
        <f>ROUND(SUM(T20:T26),1)</f>
        <v>8.9</v>
      </c>
      <c r="U27" s="341"/>
      <c r="V27" s="2521">
        <f>ROUND(SUM(V20:V26),1)</f>
        <v>0</v>
      </c>
      <c r="W27" s="264"/>
      <c r="X27" s="264"/>
      <c r="Y27" s="264"/>
      <c r="Z27" s="264"/>
      <c r="AA27" s="264"/>
      <c r="AB27" s="264"/>
      <c r="AC27" s="264"/>
      <c r="AD27" s="264"/>
      <c r="AE27" s="341"/>
      <c r="AF27" s="341"/>
      <c r="AG27" s="341"/>
      <c r="AH27" s="341"/>
      <c r="AI27" s="341"/>
      <c r="AJ27" s="341"/>
      <c r="AK27" s="341"/>
      <c r="AL27" s="341"/>
      <c r="AM27" s="341"/>
      <c r="AN27" s="341"/>
      <c r="AO27" s="341"/>
      <c r="AP27" s="341"/>
      <c r="AQ27" s="341"/>
      <c r="AR27" s="1596"/>
      <c r="AS27" s="1596"/>
      <c r="AT27" s="1596"/>
      <c r="AU27" s="1596"/>
      <c r="AV27" s="1596"/>
      <c r="AW27" s="1596"/>
    </row>
    <row r="28" spans="1:49">
      <c r="A28" s="1212"/>
      <c r="B28" s="1589"/>
      <c r="C28" s="1210"/>
      <c r="D28" s="1042"/>
      <c r="E28" s="1210"/>
      <c r="F28" s="1042"/>
      <c r="G28" s="1210"/>
      <c r="H28" s="1042"/>
      <c r="I28" s="1608"/>
      <c r="J28" s="1608"/>
      <c r="K28" s="1608"/>
      <c r="L28" s="1608"/>
      <c r="M28" s="2025"/>
      <c r="N28" s="1210"/>
      <c r="O28" s="2502"/>
      <c r="P28" s="1210"/>
      <c r="Q28" s="1042"/>
      <c r="R28" s="1210"/>
      <c r="S28" s="1042"/>
      <c r="T28" s="1608"/>
      <c r="U28" s="1589"/>
      <c r="V28" s="1608"/>
      <c r="W28" s="1608"/>
      <c r="X28" s="1608"/>
      <c r="Y28" s="1608"/>
      <c r="Z28" s="1608"/>
      <c r="AA28" s="1608"/>
      <c r="AB28" s="1608"/>
      <c r="AC28" s="1608"/>
      <c r="AD28" s="1608"/>
      <c r="AE28" s="1589"/>
      <c r="AF28" s="1589"/>
      <c r="AG28" s="1589"/>
      <c r="AH28" s="1589"/>
      <c r="AI28" s="1589"/>
      <c r="AJ28" s="1589"/>
      <c r="AK28" s="1589"/>
      <c r="AL28" s="1589"/>
      <c r="AM28" s="1589"/>
      <c r="AN28" s="1589"/>
      <c r="AO28" s="1589"/>
      <c r="AP28" s="1589"/>
      <c r="AQ28" s="1589"/>
      <c r="AR28" s="1596"/>
      <c r="AS28" s="1596"/>
      <c r="AT28" s="1596"/>
      <c r="AU28" s="1596"/>
      <c r="AV28" s="1596"/>
      <c r="AW28" s="1596"/>
    </row>
    <row r="29" spans="1:49" ht="15.75">
      <c r="A29" s="216" t="s">
        <v>23</v>
      </c>
      <c r="B29" s="1589"/>
      <c r="C29" s="1042"/>
      <c r="D29" s="1042"/>
      <c r="E29" s="1042"/>
      <c r="F29" s="1042"/>
      <c r="G29" s="1042"/>
      <c r="H29" s="1042"/>
      <c r="I29" s="1608"/>
      <c r="J29" s="1608"/>
      <c r="K29" s="1608"/>
      <c r="L29" s="1608"/>
      <c r="M29" s="2025"/>
      <c r="N29" s="2502"/>
      <c r="O29" s="2502"/>
      <c r="P29" s="2502"/>
      <c r="Q29" s="1042"/>
      <c r="R29" s="1042"/>
      <c r="S29" s="1042"/>
      <c r="T29" s="1042"/>
      <c r="U29" s="1589"/>
      <c r="V29" s="1608"/>
      <c r="W29" s="1608"/>
      <c r="X29" s="1608"/>
      <c r="Y29" s="1608"/>
      <c r="Z29" s="1608"/>
      <c r="AA29" s="1608"/>
      <c r="AB29" s="1608"/>
      <c r="AC29" s="1608"/>
      <c r="AD29" s="1608"/>
      <c r="AE29" s="1589"/>
      <c r="AF29" s="1589"/>
      <c r="AG29" s="1589"/>
      <c r="AH29" s="1589"/>
      <c r="AI29" s="1589"/>
      <c r="AJ29" s="1589"/>
      <c r="AK29" s="1589"/>
      <c r="AL29" s="1589"/>
      <c r="AM29" s="1589"/>
      <c r="AN29" s="1589"/>
      <c r="AO29" s="1589"/>
      <c r="AP29" s="1589"/>
      <c r="AQ29" s="1589"/>
      <c r="AR29" s="1596"/>
      <c r="AS29" s="1596"/>
      <c r="AT29" s="1596"/>
      <c r="AU29" s="1596"/>
      <c r="AV29" s="1596"/>
      <c r="AW29" s="1596"/>
    </row>
    <row r="30" spans="1:49">
      <c r="A30" s="1443" t="s">
        <v>95</v>
      </c>
      <c r="B30" s="1610" t="s">
        <v>15</v>
      </c>
      <c r="C30" s="1894">
        <v>556</v>
      </c>
      <c r="D30" s="2502"/>
      <c r="E30" s="1894">
        <v>0</v>
      </c>
      <c r="F30" s="1042"/>
      <c r="G30" s="1188">
        <f>'Exhibit G state'!AD100</f>
        <v>556</v>
      </c>
      <c r="H30" s="1042"/>
      <c r="I30" s="2502">
        <f t="shared" ref="I30:I34" si="4">ROUND(SUM(G30)-SUM(C30),1)</f>
        <v>0</v>
      </c>
      <c r="J30" s="1608"/>
      <c r="K30" s="1608">
        <v>0</v>
      </c>
      <c r="L30" s="1608"/>
      <c r="M30" s="2025"/>
      <c r="N30" s="1894">
        <v>3820</v>
      </c>
      <c r="O30" s="2502"/>
      <c r="P30" s="1894">
        <v>0</v>
      </c>
      <c r="Q30" s="1042"/>
      <c r="R30" s="1188">
        <f>'Exhibit G Federal'!AD70</f>
        <v>3772.5</v>
      </c>
      <c r="S30" s="1042"/>
      <c r="T30" s="2502">
        <f t="shared" ref="T30:T34" si="5">ROUND(SUM(R30)-SUM(N30),1)</f>
        <v>-47.5</v>
      </c>
      <c r="U30" s="1589"/>
      <c r="V30" s="1608">
        <v>0</v>
      </c>
      <c r="W30" s="1608"/>
      <c r="X30" s="1672"/>
      <c r="Y30" s="1608"/>
      <c r="Z30" s="1608"/>
      <c r="AA30" s="1608"/>
      <c r="AB30" s="1608"/>
      <c r="AC30" s="1608"/>
      <c r="AD30" s="1611"/>
      <c r="AE30" s="1612"/>
      <c r="AF30" s="1589"/>
      <c r="AG30" s="1612"/>
      <c r="AH30" s="1589"/>
      <c r="AI30" s="1612"/>
      <c r="AJ30" s="1613"/>
      <c r="AK30" s="1589"/>
      <c r="AL30" s="1589"/>
      <c r="AM30" s="1589"/>
      <c r="AN30" s="1589"/>
      <c r="AO30" s="1589"/>
      <c r="AP30" s="1589"/>
      <c r="AQ30" s="1589"/>
      <c r="AR30" s="1596"/>
      <c r="AS30" s="1596"/>
      <c r="AT30" s="1596"/>
      <c r="AU30" s="1596"/>
      <c r="AV30" s="1596"/>
      <c r="AW30" s="1596"/>
    </row>
    <row r="31" spans="1:49">
      <c r="A31" s="1443" t="s">
        <v>96</v>
      </c>
      <c r="B31" s="1610" t="s">
        <v>15</v>
      </c>
      <c r="C31" s="1894">
        <v>568</v>
      </c>
      <c r="D31" s="2502"/>
      <c r="E31" s="1894">
        <v>0</v>
      </c>
      <c r="F31" s="1042"/>
      <c r="G31" s="1188">
        <f>'Exhibit G state'!AD102+'Exhibit G state'!AD103</f>
        <v>565.59999999999991</v>
      </c>
      <c r="H31" s="1042"/>
      <c r="I31" s="2502">
        <f t="shared" si="4"/>
        <v>-2.4</v>
      </c>
      <c r="J31" s="1608"/>
      <c r="K31" s="1608">
        <v>0</v>
      </c>
      <c r="L31" s="1608"/>
      <c r="M31" s="2025"/>
      <c r="N31" s="1894">
        <v>123</v>
      </c>
      <c r="O31" s="2502"/>
      <c r="P31" s="1894">
        <v>0</v>
      </c>
      <c r="Q31" s="1042"/>
      <c r="R31" s="1188">
        <f>'Exhibit G Federal'!AD72+'Exhibit G Federal'!AD73</f>
        <v>121.4</v>
      </c>
      <c r="S31" s="1042"/>
      <c r="T31" s="2502">
        <f t="shared" si="5"/>
        <v>-1.6</v>
      </c>
      <c r="U31" s="1589"/>
      <c r="V31" s="1608">
        <v>0</v>
      </c>
      <c r="W31" s="1608"/>
      <c r="X31" s="1672"/>
      <c r="Y31" s="1608"/>
      <c r="Z31" s="1608"/>
      <c r="AA31" s="1608"/>
      <c r="AB31" s="1608"/>
      <c r="AC31" s="1608"/>
      <c r="AD31" s="1609"/>
      <c r="AE31" s="1610"/>
      <c r="AF31" s="1589"/>
      <c r="AG31" s="1610"/>
      <c r="AH31" s="1589"/>
      <c r="AI31" s="1612"/>
      <c r="AJ31" s="1589"/>
      <c r="AK31" s="1589"/>
      <c r="AL31" s="1612"/>
      <c r="AM31" s="1612"/>
      <c r="AN31" s="1589"/>
      <c r="AO31" s="1612"/>
      <c r="AP31" s="1589"/>
      <c r="AQ31" s="1612"/>
      <c r="AR31" s="1596"/>
      <c r="AS31" s="1596"/>
      <c r="AT31" s="1596"/>
      <c r="AU31" s="1596"/>
      <c r="AV31" s="1596"/>
      <c r="AW31" s="1596"/>
    </row>
    <row r="32" spans="1:49">
      <c r="A32" s="1443" t="s">
        <v>71</v>
      </c>
      <c r="B32" s="1610" t="s">
        <v>15</v>
      </c>
      <c r="C32" s="1894">
        <v>119</v>
      </c>
      <c r="D32" s="2502"/>
      <c r="E32" s="1894">
        <v>0</v>
      </c>
      <c r="F32" s="1042"/>
      <c r="G32" s="1188">
        <f>'Exhibit G state'!AD104</f>
        <v>119.5</v>
      </c>
      <c r="H32" s="1042"/>
      <c r="I32" s="2502">
        <f t="shared" si="4"/>
        <v>0.5</v>
      </c>
      <c r="J32" s="1608"/>
      <c r="K32" s="1608">
        <v>0</v>
      </c>
      <c r="L32" s="1608"/>
      <c r="M32" s="2025"/>
      <c r="N32" s="1894">
        <v>39</v>
      </c>
      <c r="O32" s="2502"/>
      <c r="P32" s="1894">
        <v>0</v>
      </c>
      <c r="Q32" s="1042"/>
      <c r="R32" s="1188">
        <f>'Exhibit G Federal'!AD74</f>
        <v>39.4</v>
      </c>
      <c r="S32" s="1042"/>
      <c r="T32" s="2502">
        <f t="shared" si="5"/>
        <v>0.4</v>
      </c>
      <c r="U32" s="1589"/>
      <c r="V32" s="1608">
        <v>0</v>
      </c>
      <c r="W32" s="1608"/>
      <c r="X32" s="1672"/>
      <c r="Y32" s="1608"/>
      <c r="Z32" s="1608"/>
      <c r="AA32" s="1608"/>
      <c r="AB32" s="1608"/>
      <c r="AC32" s="1608"/>
      <c r="AD32" s="1611"/>
      <c r="AE32" s="1612"/>
      <c r="AF32" s="1589"/>
      <c r="AG32" s="1612"/>
      <c r="AH32" s="1589"/>
      <c r="AI32" s="1612"/>
      <c r="AJ32" s="1613"/>
      <c r="AK32" s="1589"/>
      <c r="AL32" s="1612"/>
      <c r="AM32" s="1612"/>
      <c r="AN32" s="1589"/>
      <c r="AO32" s="1612"/>
      <c r="AP32" s="1589"/>
      <c r="AQ32" s="1612"/>
      <c r="AR32" s="1596"/>
      <c r="AS32" s="1596"/>
      <c r="AT32" s="1596"/>
      <c r="AU32" s="1596"/>
      <c r="AV32" s="1596"/>
      <c r="AW32" s="1596"/>
    </row>
    <row r="33" spans="1:49">
      <c r="A33" s="1443" t="s">
        <v>42</v>
      </c>
      <c r="B33" s="1613" t="s">
        <v>15</v>
      </c>
      <c r="C33" s="1894">
        <v>0</v>
      </c>
      <c r="D33" s="2502"/>
      <c r="E33" s="1894">
        <v>0</v>
      </c>
      <c r="F33" s="1042"/>
      <c r="G33" s="1117">
        <f>'Exhibit G state'!AD105</f>
        <v>0</v>
      </c>
      <c r="H33" s="1042"/>
      <c r="I33" s="2502">
        <f t="shared" si="4"/>
        <v>0</v>
      </c>
      <c r="J33" s="1608"/>
      <c r="K33" s="1608">
        <v>0</v>
      </c>
      <c r="L33" s="1608"/>
      <c r="M33" s="2026"/>
      <c r="N33" s="1894">
        <v>0</v>
      </c>
      <c r="O33" s="2502"/>
      <c r="P33" s="1894">
        <v>0</v>
      </c>
      <c r="Q33" s="1042"/>
      <c r="R33" s="1117">
        <v>0</v>
      </c>
      <c r="S33" s="1042"/>
      <c r="T33" s="2502">
        <f t="shared" si="5"/>
        <v>0</v>
      </c>
      <c r="U33" s="1613"/>
      <c r="V33" s="1608">
        <f t="shared" ref="V33" si="6">ROUND(SUM(R33)-SUM(P33),1)</f>
        <v>0</v>
      </c>
      <c r="W33" s="1608"/>
      <c r="X33" s="1672"/>
      <c r="Y33" s="1608"/>
      <c r="Z33" s="1608"/>
      <c r="AA33" s="1608"/>
      <c r="AB33" s="1608"/>
      <c r="AC33" s="1608"/>
      <c r="AD33" s="1611"/>
      <c r="AE33" s="1612"/>
      <c r="AF33" s="1589"/>
      <c r="AG33" s="1612"/>
      <c r="AH33" s="1589"/>
      <c r="AI33" s="1612"/>
      <c r="AJ33" s="1613"/>
      <c r="AK33" s="1589"/>
      <c r="AL33" s="1589"/>
      <c r="AM33" s="1589"/>
      <c r="AN33" s="1589"/>
      <c r="AO33" s="1589"/>
      <c r="AP33" s="1589"/>
      <c r="AQ33" s="1589"/>
      <c r="AR33" s="1596"/>
      <c r="AS33" s="1596"/>
      <c r="AT33" s="1596"/>
      <c r="AU33" s="1596"/>
      <c r="AV33" s="1596"/>
      <c r="AW33" s="1596"/>
    </row>
    <row r="34" spans="1:49">
      <c r="A34" s="1443" t="s">
        <v>100</v>
      </c>
      <c r="B34" s="1613" t="s">
        <v>15</v>
      </c>
      <c r="C34" s="1894">
        <v>14</v>
      </c>
      <c r="D34" s="2502"/>
      <c r="E34" s="1894">
        <v>0</v>
      </c>
      <c r="F34" s="1042"/>
      <c r="G34" s="1208">
        <f>-'Exhibit G state'!AD114</f>
        <v>-74.400000000000006</v>
      </c>
      <c r="H34" s="1042"/>
      <c r="I34" s="2502">
        <f t="shared" si="4"/>
        <v>-88.4</v>
      </c>
      <c r="J34" s="1608"/>
      <c r="K34" s="1608">
        <v>0</v>
      </c>
      <c r="L34" s="1608"/>
      <c r="M34" s="2026"/>
      <c r="N34" s="1894">
        <v>97</v>
      </c>
      <c r="O34" s="2502"/>
      <c r="P34" s="1894">
        <v>0</v>
      </c>
      <c r="Q34" s="1042"/>
      <c r="R34" s="1208">
        <f>-'Exhibit G Federal'!AD84</f>
        <v>66.7</v>
      </c>
      <c r="S34" s="1042"/>
      <c r="T34" s="2502">
        <f t="shared" si="5"/>
        <v>-30.3</v>
      </c>
      <c r="U34" s="1613"/>
      <c r="V34" s="1608">
        <v>0</v>
      </c>
      <c r="W34" s="1608"/>
      <c r="X34" s="1672"/>
      <c r="Y34" s="1608"/>
      <c r="Z34" s="1609"/>
      <c r="AA34" s="1608"/>
      <c r="AB34" s="1608"/>
      <c r="AC34" s="1608"/>
      <c r="AD34" s="1611"/>
      <c r="AE34" s="1612"/>
      <c r="AF34" s="1589"/>
      <c r="AG34" s="1612"/>
      <c r="AH34" s="1589"/>
      <c r="AI34" s="1612"/>
      <c r="AJ34" s="1613"/>
      <c r="AK34" s="1589"/>
      <c r="AL34" s="1589"/>
      <c r="AM34" s="1589"/>
      <c r="AN34" s="1589"/>
      <c r="AO34" s="1589"/>
      <c r="AP34" s="1589"/>
      <c r="AQ34" s="1589"/>
      <c r="AR34" s="1596"/>
      <c r="AS34" s="1596"/>
      <c r="AT34" s="1596"/>
      <c r="AU34" s="1596"/>
      <c r="AV34" s="1596"/>
      <c r="AW34" s="1596"/>
    </row>
    <row r="35" spans="1:49" ht="18" customHeight="1">
      <c r="A35" s="363" t="s">
        <v>119</v>
      </c>
      <c r="B35" s="341" t="s">
        <v>15</v>
      </c>
      <c r="C35" s="517">
        <f>ROUND(SUM(C30:C34),1)</f>
        <v>1257</v>
      </c>
      <c r="D35" s="1587"/>
      <c r="E35" s="517">
        <f>ROUND(SUM(E30:E34),1)</f>
        <v>0</v>
      </c>
      <c r="F35" s="1587"/>
      <c r="G35" s="517">
        <f>ROUND(SUM(G30:G34),1)</f>
        <v>1166.7</v>
      </c>
      <c r="H35" s="1587"/>
      <c r="I35" s="517">
        <f>ROUND(SUM(I30:I34),1)</f>
        <v>-90.3</v>
      </c>
      <c r="J35" s="264"/>
      <c r="K35" s="517">
        <f>ROUND(SUM(K30:K34),1)</f>
        <v>0</v>
      </c>
      <c r="L35" s="264"/>
      <c r="M35" s="2029"/>
      <c r="N35" s="517">
        <f>ROUND(SUM(N30:N34),1)</f>
        <v>4079</v>
      </c>
      <c r="O35" s="1587"/>
      <c r="P35" s="517">
        <f>ROUND(SUM(P30:P34),1)</f>
        <v>0</v>
      </c>
      <c r="Q35" s="1587"/>
      <c r="R35" s="517">
        <f>ROUND(SUM(R30:R34),1)</f>
        <v>4000</v>
      </c>
      <c r="S35" s="1587"/>
      <c r="T35" s="517">
        <f>ROUND(SUM(T30:T34),1)</f>
        <v>-79</v>
      </c>
      <c r="U35" s="341"/>
      <c r="V35" s="517">
        <f>ROUND(SUM(V30:V34),1)</f>
        <v>0</v>
      </c>
      <c r="W35" s="264"/>
      <c r="X35" s="264"/>
      <c r="Y35" s="264"/>
      <c r="Z35" s="264"/>
      <c r="AA35" s="264"/>
      <c r="AB35" s="264"/>
      <c r="AC35" s="264"/>
      <c r="AD35" s="264"/>
      <c r="AE35" s="341"/>
      <c r="AF35" s="341"/>
      <c r="AG35" s="341"/>
      <c r="AH35" s="341"/>
      <c r="AI35" s="341"/>
      <c r="AJ35" s="341"/>
      <c r="AK35" s="341"/>
      <c r="AL35" s="341"/>
      <c r="AM35" s="341"/>
      <c r="AN35" s="341"/>
      <c r="AO35" s="341"/>
      <c r="AP35" s="341"/>
      <c r="AQ35" s="341"/>
      <c r="AR35" s="1596"/>
      <c r="AS35" s="1596"/>
      <c r="AT35" s="1596"/>
      <c r="AU35" s="1596"/>
      <c r="AV35" s="1596"/>
      <c r="AW35" s="1596"/>
    </row>
    <row r="36" spans="1:49">
      <c r="A36" s="1212"/>
      <c r="B36" s="1589"/>
      <c r="C36" s="1210"/>
      <c r="D36" s="1042"/>
      <c r="E36" s="1210"/>
      <c r="F36" s="1042"/>
      <c r="G36" s="1210"/>
      <c r="H36" s="1042"/>
      <c r="I36" s="1608"/>
      <c r="J36" s="1608"/>
      <c r="K36" s="1608"/>
      <c r="L36" s="1608"/>
      <c r="M36" s="2025"/>
      <c r="N36" s="1210"/>
      <c r="O36" s="2502"/>
      <c r="P36" s="1210"/>
      <c r="Q36" s="1042"/>
      <c r="R36" s="1210"/>
      <c r="S36" s="1042"/>
      <c r="T36" s="1608"/>
      <c r="U36" s="1589"/>
      <c r="V36" s="1608"/>
      <c r="W36" s="1608"/>
      <c r="X36" s="1608"/>
      <c r="Y36" s="1608"/>
      <c r="Z36" s="1608"/>
      <c r="AA36" s="1608"/>
      <c r="AB36" s="1608"/>
      <c r="AC36" s="1608"/>
      <c r="AD36" s="1608"/>
      <c r="AE36" s="1589"/>
      <c r="AF36" s="1589"/>
      <c r="AG36" s="1589"/>
      <c r="AH36" s="1589"/>
      <c r="AI36" s="1589"/>
      <c r="AJ36" s="1589"/>
      <c r="AK36" s="1589"/>
      <c r="AL36" s="1589"/>
      <c r="AM36" s="1589"/>
      <c r="AN36" s="1589"/>
      <c r="AO36" s="1589"/>
      <c r="AP36" s="1589"/>
      <c r="AQ36" s="1589"/>
      <c r="AR36" s="1596"/>
      <c r="AS36" s="1596"/>
      <c r="AT36" s="1596"/>
      <c r="AU36" s="1596"/>
      <c r="AV36" s="1596"/>
      <c r="AW36" s="1596"/>
    </row>
    <row r="37" spans="1:49" ht="15.75">
      <c r="A37" s="216" t="s">
        <v>120</v>
      </c>
      <c r="B37" s="1589"/>
      <c r="C37" s="1042"/>
      <c r="D37" s="1042"/>
      <c r="E37" s="1042"/>
      <c r="F37" s="1042"/>
      <c r="G37" s="1042"/>
      <c r="H37" s="1042"/>
      <c r="I37" s="1608"/>
      <c r="J37" s="1608"/>
      <c r="K37" s="1608"/>
      <c r="L37" s="1608"/>
      <c r="M37" s="2025"/>
      <c r="N37" s="2502"/>
      <c r="O37" s="2502"/>
      <c r="P37" s="2502"/>
      <c r="Q37" s="1042"/>
      <c r="R37" s="1042"/>
      <c r="S37" s="1042"/>
      <c r="T37" s="1042"/>
      <c r="U37" s="1589"/>
      <c r="V37" s="1608"/>
      <c r="W37" s="1608"/>
      <c r="X37" s="1608"/>
      <c r="Y37" s="1608"/>
      <c r="Z37" s="1608"/>
      <c r="AA37" s="1608"/>
      <c r="AB37" s="1608"/>
      <c r="AC37" s="1608"/>
      <c r="AD37" s="1608"/>
      <c r="AE37" s="1589"/>
      <c r="AF37" s="1589"/>
      <c r="AG37" s="1589"/>
      <c r="AH37" s="1589"/>
      <c r="AI37" s="1589"/>
      <c r="AJ37" s="1589"/>
      <c r="AK37" s="1589"/>
      <c r="AL37" s="1589"/>
      <c r="AM37" s="1589"/>
      <c r="AN37" s="1589"/>
      <c r="AO37" s="1589"/>
      <c r="AP37" s="1589"/>
      <c r="AQ37" s="1589"/>
      <c r="AR37" s="1596"/>
      <c r="AS37" s="1596"/>
      <c r="AT37" s="1596"/>
      <c r="AU37" s="1596"/>
      <c r="AV37" s="1596"/>
      <c r="AW37" s="1596"/>
    </row>
    <row r="38" spans="1:49" ht="15.75">
      <c r="A38" s="216" t="s">
        <v>121</v>
      </c>
      <c r="B38" s="1589"/>
      <c r="C38" s="1042"/>
      <c r="D38" s="1042"/>
      <c r="E38" s="1042"/>
      <c r="F38" s="1042"/>
      <c r="G38" s="1042"/>
      <c r="H38" s="1042"/>
      <c r="I38" s="1608"/>
      <c r="J38" s="1608"/>
      <c r="K38" s="1608"/>
      <c r="L38" s="1608"/>
      <c r="M38" s="2025"/>
      <c r="N38" s="2502"/>
      <c r="O38" s="2502"/>
      <c r="P38" s="2502"/>
      <c r="Q38" s="1042"/>
      <c r="R38" s="1042"/>
      <c r="S38" s="1042"/>
      <c r="T38" s="1042"/>
      <c r="U38" s="1589"/>
      <c r="V38" s="1608"/>
      <c r="W38" s="1608"/>
      <c r="X38" s="1608"/>
      <c r="Y38" s="1608"/>
      <c r="Z38" s="1608"/>
      <c r="AA38" s="1608"/>
      <c r="AB38" s="1608"/>
      <c r="AC38" s="1608"/>
      <c r="AD38" s="1608"/>
      <c r="AE38" s="1589"/>
      <c r="AF38" s="1589"/>
      <c r="AG38" s="1589"/>
      <c r="AH38" s="1589"/>
      <c r="AI38" s="1589"/>
      <c r="AJ38" s="1589"/>
      <c r="AK38" s="1589"/>
      <c r="AL38" s="1589"/>
      <c r="AM38" s="1589"/>
      <c r="AN38" s="1589"/>
      <c r="AO38" s="1589"/>
      <c r="AP38" s="1589"/>
      <c r="AQ38" s="1589"/>
      <c r="AR38" s="1596"/>
      <c r="AS38" s="1596"/>
      <c r="AT38" s="1596"/>
      <c r="AU38" s="1596"/>
      <c r="AV38" s="1596"/>
      <c r="AW38" s="1596"/>
    </row>
    <row r="39" spans="1:49" ht="15.75">
      <c r="A39" s="363" t="s">
        <v>104</v>
      </c>
      <c r="B39" s="1586" t="s">
        <v>15</v>
      </c>
      <c r="C39" s="264">
        <f>ROUND(SUM(C27)-SUM(C35),1)</f>
        <v>1063</v>
      </c>
      <c r="D39" s="273"/>
      <c r="E39" s="264">
        <f>ROUND(SUM(E27)-SUM(E35),1)</f>
        <v>0</v>
      </c>
      <c r="F39" s="273"/>
      <c r="G39" s="264">
        <f>ROUND(SUM(G27)-SUM(G35),1)</f>
        <v>1094.5</v>
      </c>
      <c r="H39" s="273"/>
      <c r="I39" s="264">
        <f>ROUND(SUM(I27)-SUM(I35),1)</f>
        <v>31.5</v>
      </c>
      <c r="J39" s="264"/>
      <c r="K39" s="2503">
        <f>ROUND(SUM(K27)-SUM(K35),1)</f>
        <v>0</v>
      </c>
      <c r="L39" s="264"/>
      <c r="M39" s="2027"/>
      <c r="N39" s="2503">
        <f>ROUND(SUM(N27)-SUM(N35),1)</f>
        <v>-514</v>
      </c>
      <c r="O39" s="273"/>
      <c r="P39" s="2503">
        <f>ROUND(SUM(P27)-SUM(P35),1)</f>
        <v>0</v>
      </c>
      <c r="Q39" s="273"/>
      <c r="R39" s="264">
        <f>ROUND(SUM(R27)-SUM(R35),1)</f>
        <v>-426.1</v>
      </c>
      <c r="S39" s="273"/>
      <c r="T39" s="264">
        <f>ROUND(SUM(T27)-SUM(T35),1)</f>
        <v>87.9</v>
      </c>
      <c r="U39" s="341"/>
      <c r="V39" s="2503">
        <f>ROUND(SUM(V27)-SUM(V35),1)</f>
        <v>0</v>
      </c>
      <c r="W39" s="692"/>
      <c r="X39" s="264"/>
      <c r="Y39" s="692"/>
      <c r="Z39" s="264"/>
      <c r="AA39" s="692"/>
      <c r="AB39" s="264"/>
      <c r="AC39" s="692"/>
      <c r="AD39" s="264"/>
      <c r="AE39" s="341"/>
      <c r="AF39" s="364"/>
      <c r="AG39" s="341"/>
      <c r="AH39" s="364"/>
      <c r="AI39" s="341"/>
      <c r="AJ39" s="341"/>
      <c r="AK39" s="364"/>
      <c r="AL39" s="341"/>
      <c r="AM39" s="341"/>
      <c r="AN39" s="364"/>
      <c r="AO39" s="341"/>
      <c r="AP39" s="364"/>
      <c r="AQ39" s="341"/>
      <c r="AR39" s="1596"/>
      <c r="AS39" s="1596"/>
      <c r="AT39" s="1596"/>
      <c r="AU39" s="1596"/>
      <c r="AV39" s="1596"/>
      <c r="AW39" s="1596"/>
    </row>
    <row r="40" spans="1:49" ht="15" customHeight="1">
      <c r="C40" s="1131"/>
      <c r="D40" s="1597"/>
      <c r="E40" s="1131"/>
      <c r="F40" s="1597"/>
      <c r="G40" s="1131"/>
      <c r="H40" s="1597"/>
      <c r="I40" s="264"/>
      <c r="J40" s="264"/>
      <c r="K40" s="2503"/>
      <c r="L40" s="264"/>
      <c r="M40" s="2027"/>
      <c r="N40" s="1131"/>
      <c r="O40" s="1597"/>
      <c r="P40" s="1131"/>
      <c r="Q40" s="1597"/>
      <c r="R40" s="1131"/>
      <c r="S40" s="1597"/>
      <c r="T40" s="264"/>
      <c r="U40" s="341"/>
      <c r="V40" s="2503"/>
      <c r="W40" s="1131"/>
      <c r="X40" s="1131"/>
      <c r="Y40" s="1131"/>
      <c r="Z40" s="1131"/>
      <c r="AA40" s="1131"/>
      <c r="AB40" s="1131"/>
      <c r="AC40" s="1131"/>
      <c r="AD40" s="1131"/>
      <c r="AR40" s="1596"/>
      <c r="AS40" s="1596"/>
      <c r="AT40" s="1596"/>
      <c r="AU40" s="1596"/>
      <c r="AV40" s="1596"/>
      <c r="AW40" s="1596"/>
    </row>
    <row r="41" spans="1:49" ht="15.75">
      <c r="A41" s="363" t="str">
        <f>+'Exh D-Governmental  '!A49</f>
        <v>Fund Balances (Deficits) at April 1</v>
      </c>
      <c r="B41" s="1021" t="s">
        <v>15</v>
      </c>
      <c r="C41" s="304">
        <f>ROUND('Exhibit G state'!D13,0)</f>
        <v>4009</v>
      </c>
      <c r="D41" s="2748"/>
      <c r="E41" s="304">
        <v>0</v>
      </c>
      <c r="F41" s="1597"/>
      <c r="G41" s="304">
        <f>'Exhibit G state'!D13</f>
        <v>4008.5</v>
      </c>
      <c r="H41" s="2748"/>
      <c r="I41" s="1587">
        <f>ROUND(SUM(G41)-SUM(C41),1)</f>
        <v>-0.5</v>
      </c>
      <c r="J41" s="270"/>
      <c r="K41" s="1587">
        <v>0</v>
      </c>
      <c r="L41" s="270"/>
      <c r="M41" s="2027"/>
      <c r="N41" s="304">
        <v>293</v>
      </c>
      <c r="O41" s="2748"/>
      <c r="P41" s="304">
        <v>0</v>
      </c>
      <c r="Q41" s="1597"/>
      <c r="R41" s="304">
        <f>'Exhibit G Federal'!D13</f>
        <v>293.60000000000002</v>
      </c>
      <c r="S41" s="2748"/>
      <c r="T41" s="1587">
        <f>ROUND(SUM(R41)-SUM(N41),1)</f>
        <v>0.6</v>
      </c>
      <c r="U41" s="341"/>
      <c r="V41" s="1587">
        <v>0</v>
      </c>
      <c r="W41" s="1131"/>
      <c r="X41" s="264"/>
      <c r="Y41" s="1131"/>
      <c r="Z41" s="264"/>
      <c r="AA41" s="1131"/>
      <c r="AB41" s="270"/>
      <c r="AC41" s="1131"/>
      <c r="AD41" s="1131"/>
      <c r="AR41" s="1596"/>
      <c r="AS41" s="1596"/>
      <c r="AT41" s="1596"/>
      <c r="AU41" s="1596"/>
      <c r="AV41" s="1596"/>
      <c r="AW41" s="1596"/>
    </row>
    <row r="42" spans="1:49" ht="18" customHeight="1" thickBot="1">
      <c r="A42" s="2198" t="str">
        <f>+'Exh D-Governmental  '!A50</f>
        <v>Fund Balances (Deficits) at April 30, 2018</v>
      </c>
      <c r="B42" s="370" t="s">
        <v>15</v>
      </c>
      <c r="C42" s="287">
        <f>ROUND(SUM(C39:C41),1)</f>
        <v>5072</v>
      </c>
      <c r="D42" s="371"/>
      <c r="E42" s="287">
        <f>ROUND(SUM(E39:E41),1)</f>
        <v>0</v>
      </c>
      <c r="F42" s="371"/>
      <c r="G42" s="287">
        <f>ROUND(SUM(G39:G41),1)</f>
        <v>5103</v>
      </c>
      <c r="H42" s="371"/>
      <c r="I42" s="287">
        <f>ROUND(SUM(I39:I41),1)</f>
        <v>31</v>
      </c>
      <c r="J42" s="410"/>
      <c r="K42" s="287">
        <f>ROUND(SUM(K39:K41),1)</f>
        <v>0</v>
      </c>
      <c r="L42" s="410"/>
      <c r="M42" s="2028"/>
      <c r="N42" s="287">
        <f>ROUND(SUM(N39:N41),1)</f>
        <v>-221</v>
      </c>
      <c r="O42" s="371"/>
      <c r="P42" s="287">
        <f>ROUND(SUM(P39:P41),1)</f>
        <v>0</v>
      </c>
      <c r="Q42" s="371"/>
      <c r="R42" s="287">
        <f>ROUND(SUM(R39:R41),1)</f>
        <v>-132.5</v>
      </c>
      <c r="S42" s="371"/>
      <c r="T42" s="287">
        <f>ROUND(SUM(T39:T41),1)</f>
        <v>88.5</v>
      </c>
      <c r="U42" s="341"/>
      <c r="V42" s="287">
        <f>ROUND(SUM(V39:V41),1)</f>
        <v>0</v>
      </c>
      <c r="W42" s="1675"/>
      <c r="X42" s="410"/>
      <c r="Y42" s="1675"/>
      <c r="Z42" s="410"/>
      <c r="AA42" s="1675"/>
      <c r="AB42" s="410"/>
      <c r="AR42" s="1596"/>
      <c r="AS42" s="1596"/>
      <c r="AT42" s="1596"/>
      <c r="AU42" s="1596"/>
      <c r="AV42" s="1596"/>
      <c r="AW42" s="1596"/>
    </row>
    <row r="43" spans="1:49" ht="15" customHeight="1" thickTop="1">
      <c r="A43" s="345"/>
      <c r="G43" s="1021"/>
      <c r="J43" s="1021"/>
      <c r="V43" s="1021"/>
      <c r="W43" s="1676"/>
      <c r="X43" s="1211"/>
      <c r="Y43" s="1676"/>
      <c r="Z43" s="1676"/>
      <c r="AA43" s="1676"/>
      <c r="AB43" s="1676"/>
      <c r="AR43" s="1596"/>
      <c r="AS43" s="1596"/>
      <c r="AT43" s="1596"/>
      <c r="AU43" s="1596"/>
      <c r="AV43" s="1596"/>
      <c r="AW43" s="1596"/>
    </row>
    <row r="44" spans="1:49">
      <c r="A44" s="1601" t="str">
        <f>'Exh D-Governmental  '!A52</f>
        <v>(*)    Source: 2018-19 Enacted Financial Plan dated May 11, 2018.</v>
      </c>
      <c r="AR44" s="1596"/>
      <c r="AS44" s="1596"/>
      <c r="AT44" s="1596"/>
      <c r="AU44" s="1596"/>
      <c r="AV44" s="1596"/>
      <c r="AW44" s="1596"/>
    </row>
    <row r="45" spans="1:49">
      <c r="A45" s="1063"/>
      <c r="B45" s="1596"/>
      <c r="C45" s="1596"/>
      <c r="D45" s="1596"/>
      <c r="E45" s="1596"/>
      <c r="F45" s="1596"/>
      <c r="G45" s="1596"/>
      <c r="H45" s="1596"/>
      <c r="I45" s="1596"/>
      <c r="J45" s="1596"/>
      <c r="K45" s="1596"/>
      <c r="L45" s="1214"/>
      <c r="M45" s="1214"/>
      <c r="N45" s="1596"/>
      <c r="O45" s="1596"/>
      <c r="P45" s="1596"/>
      <c r="Q45" s="1596"/>
      <c r="R45" s="1596"/>
      <c r="S45" s="1596"/>
      <c r="T45" s="1596"/>
      <c r="U45" s="1596"/>
      <c r="V45" s="1214"/>
      <c r="W45" s="1214"/>
      <c r="X45" s="1214"/>
      <c r="Y45" s="1214"/>
      <c r="Z45" s="1214"/>
      <c r="AA45" s="1214"/>
      <c r="AB45" s="1214"/>
      <c r="AC45" s="1596"/>
      <c r="AD45" s="1596"/>
      <c r="AE45" s="1596"/>
      <c r="AF45" s="1596"/>
      <c r="AG45" s="1596"/>
      <c r="AH45" s="1596"/>
      <c r="AI45" s="1596"/>
      <c r="AJ45" s="1596"/>
      <c r="AK45" s="1596"/>
      <c r="AL45" s="1596"/>
      <c r="AM45" s="1596"/>
      <c r="AN45" s="1596"/>
      <c r="AO45" s="1596"/>
      <c r="AP45" s="1596"/>
      <c r="AQ45" s="1596"/>
      <c r="AR45" s="1596"/>
      <c r="AS45" s="1596"/>
      <c r="AT45" s="1596"/>
      <c r="AU45" s="1596"/>
      <c r="AV45" s="1596"/>
      <c r="AW45" s="1596"/>
    </row>
    <row r="46" spans="1:49">
      <c r="A46" s="2405"/>
      <c r="B46" s="1596"/>
      <c r="C46" s="1614"/>
      <c r="D46" s="1596"/>
      <c r="E46" s="1596"/>
      <c r="F46" s="1596"/>
      <c r="G46" s="1596"/>
      <c r="H46" s="1596"/>
      <c r="I46" s="1596"/>
      <c r="J46" s="1596"/>
      <c r="K46" s="1596"/>
      <c r="L46" s="1214"/>
      <c r="M46" s="1214"/>
      <c r="N46" s="1596"/>
      <c r="O46" s="1596"/>
      <c r="P46" s="1596"/>
      <c r="Q46" s="1596"/>
      <c r="R46" s="1596"/>
      <c r="S46" s="1596"/>
      <c r="T46" s="1596"/>
      <c r="U46" s="1596"/>
      <c r="V46" s="1214"/>
      <c r="W46" s="1214"/>
      <c r="X46" s="1214"/>
      <c r="Y46" s="1214"/>
      <c r="Z46" s="1214"/>
      <c r="AA46" s="1214"/>
      <c r="AB46" s="1214"/>
      <c r="AC46" s="1596"/>
      <c r="AD46" s="1596"/>
      <c r="AE46" s="1596"/>
      <c r="AF46" s="1596"/>
      <c r="AG46" s="1596"/>
      <c r="AH46" s="1596"/>
      <c r="AI46" s="1596"/>
      <c r="AJ46" s="1596"/>
      <c r="AK46" s="1596"/>
      <c r="AL46" s="1596"/>
      <c r="AM46" s="1596"/>
      <c r="AN46" s="1596"/>
      <c r="AO46" s="1596"/>
      <c r="AP46" s="1596"/>
      <c r="AQ46" s="1596"/>
      <c r="AR46" s="1596"/>
      <c r="AS46" s="1596"/>
      <c r="AT46" s="1596"/>
      <c r="AU46" s="1596"/>
      <c r="AV46" s="1596"/>
      <c r="AW46" s="1596"/>
    </row>
    <row r="47" spans="1:49">
      <c r="A47" s="1561"/>
    </row>
    <row r="48" spans="1:49">
      <c r="A48" s="394"/>
      <c r="B48" s="1596"/>
      <c r="C48" s="1596"/>
      <c r="D48" s="1596"/>
      <c r="E48" s="1596"/>
      <c r="F48" s="1596"/>
      <c r="G48" s="1596"/>
      <c r="H48" s="1596"/>
      <c r="I48" s="1596"/>
      <c r="J48" s="1596"/>
      <c r="K48" s="1596"/>
      <c r="L48" s="1214"/>
      <c r="M48" s="1214"/>
      <c r="N48" s="1596"/>
      <c r="O48" s="1596"/>
      <c r="P48" s="1596"/>
      <c r="Q48" s="1596"/>
      <c r="R48" s="1596"/>
      <c r="S48" s="1596"/>
      <c r="T48" s="1596"/>
      <c r="U48" s="1596"/>
      <c r="V48" s="1214"/>
      <c r="W48" s="1214"/>
      <c r="X48" s="1214"/>
      <c r="Y48" s="1214"/>
      <c r="Z48" s="1214"/>
      <c r="AA48" s="1214"/>
      <c r="AB48" s="1214"/>
      <c r="AC48" s="1596"/>
      <c r="AD48" s="1596"/>
      <c r="AE48" s="1596"/>
      <c r="AF48" s="1596"/>
      <c r="AG48" s="1596"/>
      <c r="AH48" s="1596"/>
      <c r="AI48" s="1596"/>
      <c r="AJ48" s="1596"/>
      <c r="AK48" s="1596"/>
      <c r="AL48" s="1596"/>
      <c r="AM48" s="1596"/>
      <c r="AN48" s="1596"/>
      <c r="AO48" s="1596"/>
      <c r="AP48" s="1596"/>
      <c r="AQ48" s="1596"/>
      <c r="AR48" s="1596"/>
      <c r="AS48" s="1596"/>
      <c r="AT48" s="1596"/>
      <c r="AU48" s="1596"/>
      <c r="AV48" s="1596"/>
      <c r="AW48" s="1596"/>
    </row>
    <row r="49" spans="1:49">
      <c r="A49" s="394"/>
      <c r="B49" s="1596"/>
      <c r="C49" s="1596"/>
      <c r="D49" s="1596"/>
      <c r="E49" s="1596"/>
      <c r="F49" s="1596"/>
      <c r="G49" s="1596"/>
      <c r="H49" s="1596"/>
      <c r="I49" s="1596"/>
      <c r="J49" s="1596"/>
      <c r="K49" s="1596"/>
      <c r="L49" s="1214"/>
      <c r="M49" s="1214"/>
      <c r="N49" s="1596"/>
      <c r="O49" s="1596"/>
      <c r="P49" s="1596"/>
      <c r="Q49" s="1596"/>
      <c r="R49" s="1596"/>
      <c r="S49" s="1596"/>
      <c r="T49" s="1596"/>
      <c r="U49" s="1596"/>
      <c r="V49" s="1214"/>
      <c r="W49" s="1214"/>
      <c r="X49" s="1214"/>
      <c r="Y49" s="1214"/>
      <c r="Z49" s="1214"/>
      <c r="AA49" s="1214"/>
      <c r="AB49" s="1214"/>
      <c r="AC49" s="1596"/>
      <c r="AD49" s="1596"/>
      <c r="AE49" s="1596"/>
      <c r="AF49" s="1596"/>
      <c r="AG49" s="1596"/>
      <c r="AH49" s="1596"/>
      <c r="AI49" s="1596"/>
      <c r="AJ49" s="1596"/>
      <c r="AK49" s="1596"/>
      <c r="AL49" s="1596"/>
      <c r="AM49" s="1596"/>
      <c r="AN49" s="1596"/>
      <c r="AO49" s="1596"/>
      <c r="AP49" s="1596"/>
      <c r="AQ49" s="1596"/>
      <c r="AR49" s="1596"/>
      <c r="AS49" s="1596"/>
      <c r="AT49" s="1596"/>
      <c r="AU49" s="1596"/>
      <c r="AV49" s="1596"/>
      <c r="AW49" s="1596"/>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1"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80" zoomScaleNormal="80" workbookViewId="0"/>
  </sheetViews>
  <sheetFormatPr defaultColWidth="8.88671875" defaultRowHeight="15"/>
  <cols>
    <col min="1" max="1" width="47.21875" style="1596" customWidth="1"/>
    <col min="2" max="2" width="2" style="1021" customWidth="1"/>
    <col min="3" max="3" width="16.5546875" style="732" customWidth="1"/>
    <col min="4" max="4" width="4.77734375" style="1600" customWidth="1"/>
    <col min="5" max="5" width="15.77734375" style="732" customWidth="1"/>
    <col min="6" max="6" width="4.77734375" style="1600" customWidth="1"/>
    <col min="7" max="7" width="15.77734375" style="1600" customWidth="1"/>
    <col min="8" max="8" width="4.77734375" style="1600" customWidth="1"/>
    <col min="9" max="9" width="15.77734375" style="1600" customWidth="1"/>
    <col min="10" max="10" width="2" style="1021" customWidth="1"/>
    <col min="11" max="11" width="11.88671875" style="1021" customWidth="1"/>
    <col min="12" max="12" width="11.44140625" style="1021" customWidth="1"/>
    <col min="13" max="13" width="1.88671875" style="1021" customWidth="1"/>
    <col min="14" max="14" width="11.6640625" style="1021" customWidth="1"/>
    <col min="15" max="15" width="2.109375" style="1021" customWidth="1"/>
    <col min="16" max="16" width="11.44140625" style="1021" customWidth="1"/>
    <col min="17" max="17" width="0.5546875" style="1021" customWidth="1"/>
    <col min="18" max="18" width="2.33203125" style="1021" customWidth="1"/>
    <col min="19" max="19" width="10.5546875" style="1021" customWidth="1"/>
    <col min="20" max="20" width="11.109375" style="1021" customWidth="1"/>
    <col min="21" max="21" width="2.21875" style="1021" customWidth="1"/>
    <col min="22" max="22" width="11.109375" style="1021" customWidth="1"/>
    <col min="23" max="23" width="2.109375" style="1021" customWidth="1"/>
    <col min="24" max="24" width="12.44140625" style="1021" customWidth="1"/>
    <col min="25" max="29" width="8.88671875" style="1021"/>
    <col min="30" max="30" width="8.88671875" style="1600"/>
    <col min="31" max="16384" width="8.88671875" style="1596"/>
  </cols>
  <sheetData>
    <row r="1" spans="1:24">
      <c r="A1" s="1602" t="s">
        <v>1064</v>
      </c>
      <c r="B1" s="376"/>
      <c r="C1" s="726"/>
      <c r="D1" s="377"/>
      <c r="E1" s="726"/>
      <c r="F1" s="377"/>
      <c r="G1" s="377"/>
      <c r="H1" s="377"/>
      <c r="I1" s="377"/>
      <c r="J1" s="377"/>
      <c r="K1" s="376"/>
      <c r="L1" s="376"/>
      <c r="M1" s="376"/>
      <c r="N1" s="376"/>
      <c r="O1" s="376"/>
      <c r="P1" s="376"/>
      <c r="Q1" s="376"/>
      <c r="R1" s="376"/>
      <c r="S1" s="376"/>
      <c r="T1" s="376"/>
      <c r="U1" s="376"/>
      <c r="V1" s="376"/>
      <c r="W1" s="376"/>
      <c r="X1" s="376"/>
    </row>
    <row r="2" spans="1:24" ht="16.899999999999999" customHeight="1">
      <c r="A2" s="378"/>
      <c r="B2" s="379"/>
      <c r="C2" s="726"/>
      <c r="D2" s="377"/>
      <c r="E2" s="726"/>
      <c r="F2" s="377"/>
      <c r="G2" s="380"/>
      <c r="H2" s="377"/>
      <c r="I2" s="377"/>
      <c r="J2" s="377"/>
      <c r="K2" s="376"/>
      <c r="L2" s="376"/>
      <c r="M2" s="376"/>
      <c r="N2" s="376"/>
      <c r="O2" s="376"/>
      <c r="P2" s="376"/>
      <c r="Q2" s="376"/>
      <c r="R2" s="376"/>
      <c r="S2" s="376"/>
      <c r="T2" s="376"/>
      <c r="U2" s="376"/>
      <c r="V2" s="376"/>
      <c r="W2" s="376"/>
      <c r="X2" s="376"/>
    </row>
    <row r="3" spans="1:24" ht="21" customHeight="1">
      <c r="A3" s="381" t="s">
        <v>0</v>
      </c>
      <c r="B3" s="338"/>
      <c r="C3" s="729"/>
      <c r="D3" s="332"/>
      <c r="E3" s="729"/>
      <c r="F3" s="332"/>
      <c r="G3" s="332"/>
      <c r="H3" s="332"/>
      <c r="I3" s="1452"/>
      <c r="J3" s="332"/>
      <c r="K3" s="1452" t="s">
        <v>85</v>
      </c>
      <c r="L3" s="346"/>
      <c r="M3" s="346"/>
      <c r="N3" s="346"/>
      <c r="O3" s="346"/>
      <c r="P3" s="346"/>
      <c r="Q3" s="346"/>
      <c r="R3" s="346"/>
      <c r="S3" s="346"/>
      <c r="T3" s="346"/>
      <c r="U3" s="346"/>
      <c r="V3" s="346"/>
      <c r="W3" s="346"/>
      <c r="X3" s="382"/>
    </row>
    <row r="4" spans="1:24" ht="21.75" customHeight="1">
      <c r="A4" s="381" t="s">
        <v>84</v>
      </c>
      <c r="B4" s="338"/>
      <c r="C4" s="729"/>
      <c r="D4" s="332"/>
      <c r="E4" s="729"/>
      <c r="F4" s="332"/>
      <c r="G4" s="332"/>
      <c r="H4" s="332"/>
      <c r="I4" s="1453"/>
      <c r="J4" s="332"/>
      <c r="K4" s="1453"/>
      <c r="L4" s="346"/>
      <c r="M4" s="346"/>
      <c r="N4" s="346"/>
      <c r="O4" s="346"/>
      <c r="P4" s="346"/>
      <c r="Q4" s="346"/>
      <c r="R4" s="346"/>
      <c r="S4" s="346"/>
      <c r="T4" s="346"/>
      <c r="U4" s="346"/>
      <c r="V4" s="346"/>
      <c r="W4" s="346"/>
      <c r="X4" s="346"/>
    </row>
    <row r="5" spans="1:24" ht="21.75" customHeight="1">
      <c r="A5" s="3741" t="str">
        <f>'Exh D-Governmental  '!A5:E5</f>
        <v>FISCAL YEAR 2018-2019</v>
      </c>
      <c r="B5" s="3742"/>
      <c r="C5" s="3742"/>
      <c r="D5" s="3742"/>
      <c r="E5" s="3742"/>
      <c r="F5" s="332"/>
      <c r="G5" s="332"/>
      <c r="H5" s="332"/>
      <c r="I5" s="332"/>
      <c r="J5" s="332"/>
      <c r="K5" s="346"/>
      <c r="L5" s="346"/>
      <c r="M5" s="346"/>
      <c r="N5" s="346"/>
      <c r="O5" s="346"/>
      <c r="P5" s="346"/>
      <c r="Q5" s="346"/>
      <c r="R5" s="346"/>
      <c r="S5" s="346"/>
      <c r="T5" s="346"/>
      <c r="U5" s="346"/>
      <c r="V5" s="346"/>
      <c r="W5" s="346"/>
      <c r="X5" s="346"/>
    </row>
    <row r="6" spans="1:24" ht="17.25" customHeight="1">
      <c r="A6" s="2365" t="str">
        <f>'Exh D-Governmental  '!A6</f>
        <v>FOR ONE MONTH ENDED APRIL 30, 2018</v>
      </c>
      <c r="B6" s="337"/>
      <c r="C6" s="729"/>
      <c r="D6" s="332"/>
      <c r="E6" s="729"/>
      <c r="F6" s="332"/>
      <c r="G6" s="332"/>
      <c r="H6" s="332"/>
      <c r="I6" s="332"/>
      <c r="J6" s="332"/>
      <c r="K6" s="346"/>
      <c r="L6" s="346"/>
      <c r="M6" s="346"/>
      <c r="N6" s="346"/>
      <c r="O6" s="346"/>
      <c r="P6" s="346"/>
      <c r="Q6" s="346"/>
      <c r="R6" s="346"/>
      <c r="S6" s="346"/>
      <c r="T6" s="346"/>
      <c r="U6" s="346"/>
      <c r="V6" s="346"/>
      <c r="W6" s="346"/>
      <c r="X6" s="346"/>
    </row>
    <row r="7" spans="1:24" ht="18">
      <c r="A7" s="381" t="s">
        <v>958</v>
      </c>
      <c r="B7" s="338"/>
      <c r="C7" s="729"/>
      <c r="D7" s="332"/>
      <c r="E7" s="729"/>
      <c r="F7" s="332"/>
      <c r="G7" s="332"/>
      <c r="H7" s="332"/>
      <c r="I7" s="332"/>
      <c r="J7" s="332"/>
      <c r="K7" s="346"/>
      <c r="L7" s="346"/>
      <c r="M7" s="346"/>
      <c r="N7" s="346"/>
      <c r="O7" s="346"/>
      <c r="P7" s="346"/>
      <c r="Q7" s="346"/>
      <c r="R7" s="346"/>
      <c r="S7" s="346"/>
      <c r="T7" s="346"/>
      <c r="U7" s="346"/>
      <c r="V7" s="346"/>
      <c r="W7" s="346"/>
      <c r="X7" s="346"/>
    </row>
    <row r="8" spans="1:24" ht="15" customHeight="1">
      <c r="A8" s="383"/>
      <c r="B8" s="337"/>
      <c r="C8" s="729"/>
      <c r="D8" s="332"/>
      <c r="E8" s="729"/>
      <c r="F8" s="332"/>
      <c r="G8" s="332"/>
      <c r="H8" s="332"/>
      <c r="I8" s="332"/>
      <c r="J8" s="332"/>
      <c r="K8" s="346"/>
      <c r="L8" s="346"/>
      <c r="M8" s="346"/>
      <c r="N8" s="346"/>
      <c r="O8" s="346"/>
      <c r="P8" s="346"/>
      <c r="Q8" s="346"/>
      <c r="R8" s="346"/>
      <c r="S8" s="346"/>
      <c r="T8" s="346"/>
      <c r="U8" s="346"/>
      <c r="V8" s="346"/>
      <c r="W8" s="346"/>
      <c r="X8" s="346"/>
    </row>
    <row r="9" spans="1:24">
      <c r="A9" s="340"/>
      <c r="B9" s="346"/>
      <c r="C9" s="729"/>
      <c r="D9" s="332"/>
      <c r="E9" s="729"/>
      <c r="F9" s="332"/>
      <c r="G9" s="332"/>
      <c r="H9" s="332"/>
      <c r="I9" s="332"/>
      <c r="J9" s="332"/>
      <c r="K9" s="346"/>
      <c r="L9" s="346"/>
      <c r="M9" s="346"/>
      <c r="N9" s="346"/>
      <c r="O9" s="346"/>
      <c r="P9" s="346"/>
      <c r="Q9" s="346"/>
      <c r="R9" s="346"/>
      <c r="S9" s="346"/>
      <c r="T9" s="346"/>
      <c r="U9" s="346"/>
      <c r="V9" s="346"/>
      <c r="W9" s="346"/>
      <c r="X9" s="346"/>
    </row>
    <row r="10" spans="1:24">
      <c r="A10" s="340"/>
      <c r="B10" s="346"/>
      <c r="C10" s="728"/>
      <c r="D10" s="338"/>
      <c r="E10" s="728"/>
      <c r="F10" s="338"/>
      <c r="G10" s="338"/>
      <c r="H10" s="338"/>
      <c r="I10" s="338"/>
      <c r="J10" s="332"/>
      <c r="K10" s="346"/>
      <c r="L10" s="346"/>
      <c r="M10" s="346"/>
      <c r="N10" s="346"/>
      <c r="O10" s="346"/>
      <c r="P10" s="346"/>
      <c r="Q10" s="346"/>
      <c r="R10" s="346"/>
      <c r="S10" s="346"/>
      <c r="T10" s="346"/>
      <c r="U10" s="346"/>
      <c r="V10" s="346"/>
      <c r="W10" s="346"/>
      <c r="X10" s="346"/>
    </row>
    <row r="11" spans="1:24" ht="15.75">
      <c r="A11" s="1212"/>
      <c r="C11" s="3746" t="s">
        <v>1249</v>
      </c>
      <c r="D11" s="3746"/>
      <c r="E11" s="3746"/>
      <c r="F11" s="3746"/>
      <c r="G11" s="3746"/>
      <c r="H11" s="3746"/>
      <c r="I11" s="3746"/>
      <c r="J11" s="2004"/>
      <c r="K11" s="2005"/>
      <c r="L11" s="384"/>
      <c r="M11" s="384"/>
      <c r="N11" s="384"/>
      <c r="O11" s="384"/>
      <c r="P11" s="384"/>
      <c r="Q11" s="384"/>
      <c r="R11" s="341"/>
      <c r="S11" s="384"/>
      <c r="T11" s="385"/>
      <c r="U11" s="384"/>
      <c r="V11" s="384"/>
      <c r="W11" s="384"/>
      <c r="X11" s="384"/>
    </row>
    <row r="12" spans="1:24" ht="15.75">
      <c r="A12" s="1212"/>
      <c r="C12" s="733"/>
      <c r="D12" s="386"/>
      <c r="E12" s="733"/>
      <c r="F12" s="386"/>
      <c r="G12" s="387"/>
      <c r="H12" s="386"/>
      <c r="I12" s="386" t="s">
        <v>86</v>
      </c>
      <c r="J12" s="341"/>
      <c r="K12" s="386" t="s">
        <v>86</v>
      </c>
      <c r="L12" s="384"/>
      <c r="M12" s="384"/>
      <c r="N12" s="384"/>
      <c r="O12" s="384"/>
      <c r="P12" s="384"/>
      <c r="Q12" s="384"/>
      <c r="R12" s="341"/>
      <c r="S12" s="384"/>
      <c r="T12" s="385"/>
      <c r="U12" s="384"/>
      <c r="V12" s="384"/>
      <c r="W12" s="384"/>
      <c r="X12" s="384"/>
    </row>
    <row r="13" spans="1:24" ht="15.75">
      <c r="A13" s="1212"/>
      <c r="B13" s="341"/>
      <c r="C13" s="731"/>
      <c r="D13" s="388"/>
      <c r="E13" s="731"/>
      <c r="F13" s="388"/>
      <c r="G13" s="388"/>
      <c r="H13" s="388"/>
      <c r="I13" s="389" t="s">
        <v>965</v>
      </c>
      <c r="J13" s="341"/>
      <c r="K13" s="389" t="s">
        <v>965</v>
      </c>
      <c r="L13" s="341"/>
      <c r="M13" s="341"/>
      <c r="N13" s="341"/>
      <c r="O13" s="341"/>
      <c r="P13" s="390"/>
      <c r="Q13" s="391"/>
      <c r="R13" s="341"/>
      <c r="S13" s="341"/>
      <c r="T13" s="341"/>
      <c r="U13" s="341"/>
      <c r="V13" s="341"/>
      <c r="W13" s="341"/>
      <c r="X13" s="390"/>
    </row>
    <row r="14" spans="1:24" ht="15.75">
      <c r="A14" s="1212"/>
      <c r="B14" s="392"/>
      <c r="C14" s="344" t="s">
        <v>1190</v>
      </c>
      <c r="D14" s="342"/>
      <c r="E14" s="343" t="s">
        <v>1191</v>
      </c>
      <c r="F14" s="342"/>
      <c r="G14" s="342"/>
      <c r="H14" s="342"/>
      <c r="I14" s="343" t="s">
        <v>87</v>
      </c>
      <c r="J14" s="341"/>
      <c r="K14" s="343" t="s">
        <v>87</v>
      </c>
      <c r="L14" s="391"/>
      <c r="M14" s="341"/>
      <c r="N14" s="341"/>
      <c r="O14" s="341"/>
      <c r="P14" s="390"/>
      <c r="Q14" s="391"/>
      <c r="R14" s="341"/>
      <c r="S14" s="390"/>
      <c r="T14" s="391"/>
      <c r="U14" s="341"/>
      <c r="V14" s="341"/>
      <c r="W14" s="341"/>
      <c r="X14" s="390"/>
    </row>
    <row r="15" spans="1:24" ht="15.75">
      <c r="A15" s="1212"/>
      <c r="B15" s="392"/>
      <c r="C15" s="343" t="s">
        <v>1232</v>
      </c>
      <c r="D15" s="342"/>
      <c r="E15" s="343" t="s">
        <v>1232</v>
      </c>
      <c r="F15" s="342"/>
      <c r="G15" s="342"/>
      <c r="H15" s="342"/>
      <c r="I15" s="343" t="s">
        <v>1190</v>
      </c>
      <c r="J15" s="341"/>
      <c r="K15" s="343" t="s">
        <v>1191</v>
      </c>
      <c r="L15" s="391"/>
      <c r="M15" s="341"/>
      <c r="N15" s="341"/>
      <c r="O15" s="341"/>
      <c r="P15" s="390"/>
      <c r="Q15" s="391"/>
      <c r="R15" s="341"/>
      <c r="S15" s="390"/>
      <c r="T15" s="391"/>
      <c r="U15" s="341"/>
      <c r="V15" s="341"/>
      <c r="W15" s="341"/>
      <c r="X15" s="390"/>
    </row>
    <row r="16" spans="1:24" ht="15.75">
      <c r="A16" s="1212"/>
      <c r="B16" s="391"/>
      <c r="C16" s="343" t="s">
        <v>1233</v>
      </c>
      <c r="D16" s="342"/>
      <c r="E16" s="343" t="s">
        <v>1488</v>
      </c>
      <c r="F16" s="342"/>
      <c r="G16" s="344" t="s">
        <v>86</v>
      </c>
      <c r="H16" s="342"/>
      <c r="I16" s="343" t="s">
        <v>88</v>
      </c>
      <c r="J16" s="341"/>
      <c r="K16" s="343" t="s">
        <v>88</v>
      </c>
      <c r="L16" s="391"/>
      <c r="M16" s="341"/>
      <c r="N16" s="390"/>
      <c r="O16" s="341"/>
      <c r="P16" s="390"/>
      <c r="Q16" s="391"/>
      <c r="R16" s="341"/>
      <c r="S16" s="391"/>
      <c r="T16" s="391"/>
      <c r="U16" s="341"/>
      <c r="V16" s="390"/>
      <c r="W16" s="341"/>
      <c r="X16" s="390"/>
    </row>
    <row r="17" spans="1:24">
      <c r="A17" s="345"/>
      <c r="B17" s="346"/>
      <c r="C17" s="347"/>
      <c r="D17" s="332"/>
      <c r="E17" s="347"/>
      <c r="F17" s="332"/>
      <c r="G17" s="347"/>
      <c r="H17" s="332"/>
      <c r="I17" s="347"/>
      <c r="J17" s="346"/>
      <c r="K17" s="347"/>
      <c r="L17" s="346"/>
      <c r="M17" s="346"/>
      <c r="N17" s="346"/>
      <c r="O17" s="346"/>
      <c r="P17" s="346"/>
      <c r="Q17" s="346"/>
      <c r="R17" s="346"/>
      <c r="S17" s="346"/>
      <c r="T17" s="346"/>
      <c r="U17" s="346"/>
      <c r="V17" s="346"/>
      <c r="W17" s="346"/>
      <c r="X17" s="346"/>
    </row>
    <row r="18" spans="1:24" ht="15.75">
      <c r="A18" s="216" t="s">
        <v>14</v>
      </c>
      <c r="B18" s="1589"/>
      <c r="C18" s="1115"/>
      <c r="D18" s="1115"/>
      <c r="E18" s="1115"/>
      <c r="F18" s="1115"/>
      <c r="G18" s="1115"/>
      <c r="H18" s="1115"/>
      <c r="I18" s="1115"/>
      <c r="J18" s="1589"/>
      <c r="K18" s="1115"/>
      <c r="L18" s="1589"/>
      <c r="M18" s="1589"/>
      <c r="N18" s="1589"/>
      <c r="O18" s="1589"/>
      <c r="P18" s="1589"/>
      <c r="Q18" s="1589"/>
      <c r="R18" s="1589"/>
      <c r="S18" s="1589"/>
      <c r="T18" s="1589"/>
      <c r="U18" s="1589"/>
      <c r="V18" s="1589"/>
      <c r="W18" s="1589"/>
      <c r="X18" s="1589"/>
    </row>
    <row r="19" spans="1:24">
      <c r="A19" s="1443" t="s">
        <v>89</v>
      </c>
      <c r="B19" s="1590"/>
      <c r="C19" s="1115"/>
      <c r="D19" s="1115"/>
      <c r="E19" s="1115"/>
      <c r="F19" s="1115"/>
      <c r="G19" s="1115"/>
      <c r="H19" s="1590"/>
      <c r="I19" s="1115"/>
      <c r="J19" s="1589"/>
      <c r="K19" s="1115"/>
      <c r="L19" s="1589"/>
      <c r="M19" s="1589"/>
      <c r="N19" s="1589"/>
      <c r="O19" s="1589"/>
      <c r="P19" s="1589"/>
      <c r="Q19" s="1589"/>
      <c r="R19" s="1589"/>
      <c r="S19" s="1589"/>
      <c r="T19" s="1589"/>
      <c r="U19" s="1589"/>
      <c r="V19" s="1589"/>
      <c r="W19" s="1589"/>
      <c r="X19" s="1589"/>
    </row>
    <row r="20" spans="1:24">
      <c r="A20" s="1443" t="s">
        <v>90</v>
      </c>
      <c r="B20" s="1590" t="s">
        <v>15</v>
      </c>
      <c r="C20" s="3386">
        <v>2948</v>
      </c>
      <c r="D20" s="1118"/>
      <c r="E20" s="3386">
        <v>0</v>
      </c>
      <c r="F20" s="1118"/>
      <c r="G20" s="1728">
        <f>+'Exhibit H'!AA16</f>
        <v>2928.1</v>
      </c>
      <c r="H20" s="1118"/>
      <c r="I20" s="1116">
        <f>G20-C20</f>
        <v>-19.900000000000091</v>
      </c>
      <c r="J20" s="1589"/>
      <c r="K20" s="1116">
        <v>0</v>
      </c>
      <c r="L20" s="1671"/>
      <c r="M20" s="1589"/>
      <c r="N20" s="1589"/>
      <c r="O20" s="1589"/>
      <c r="P20" s="1589"/>
      <c r="Q20" s="1589"/>
      <c r="R20" s="1589"/>
      <c r="S20" s="1589"/>
      <c r="T20" s="1589"/>
      <c r="U20" s="1589"/>
      <c r="V20" s="1589"/>
      <c r="W20" s="1589"/>
      <c r="X20" s="1589"/>
    </row>
    <row r="21" spans="1:24">
      <c r="A21" s="1443" t="s">
        <v>91</v>
      </c>
      <c r="B21" s="1589" t="s">
        <v>15</v>
      </c>
      <c r="C21" s="1894">
        <v>507</v>
      </c>
      <c r="D21" s="2502"/>
      <c r="E21" s="1894">
        <v>0</v>
      </c>
      <c r="F21" s="1042"/>
      <c r="G21" s="1544">
        <f>+'Exhibit H'!AA20</f>
        <v>502.8</v>
      </c>
      <c r="H21" s="1042"/>
      <c r="I21" s="1042">
        <f>G21-C21</f>
        <v>-4.1999999999999886</v>
      </c>
      <c r="J21" s="1608"/>
      <c r="K21" s="2502">
        <v>0</v>
      </c>
      <c r="L21" s="1671"/>
      <c r="M21" s="1589"/>
      <c r="N21" s="1589"/>
      <c r="O21" s="1589"/>
      <c r="P21" s="1589"/>
      <c r="Q21" s="1589"/>
      <c r="R21" s="1589"/>
      <c r="S21" s="1589"/>
      <c r="T21" s="1589"/>
      <c r="U21" s="1589"/>
      <c r="V21" s="1589"/>
      <c r="W21" s="1589"/>
      <c r="X21" s="1589"/>
    </row>
    <row r="22" spans="1:24">
      <c r="A22" s="1443" t="s">
        <v>93</v>
      </c>
      <c r="B22" s="1589" t="s">
        <v>15</v>
      </c>
      <c r="C22" s="1894">
        <v>87</v>
      </c>
      <c r="D22" s="2502"/>
      <c r="E22" s="1894">
        <v>0</v>
      </c>
      <c r="F22" s="1042"/>
      <c r="G22" s="1544">
        <f>+'Exhibit H'!AA23</f>
        <v>87</v>
      </c>
      <c r="H22" s="1042"/>
      <c r="I22" s="1042">
        <f t="shared" ref="I22:I25" si="0">G22-C22</f>
        <v>0</v>
      </c>
      <c r="J22" s="1608"/>
      <c r="K22" s="2502">
        <v>0</v>
      </c>
      <c r="L22" s="1671"/>
      <c r="M22" s="1589"/>
      <c r="N22" s="1589"/>
      <c r="O22" s="1589"/>
      <c r="P22" s="1589"/>
      <c r="Q22" s="1589"/>
      <c r="R22" s="1589"/>
      <c r="S22" s="1589"/>
      <c r="T22" s="1589"/>
      <c r="U22" s="1589"/>
      <c r="V22" s="1589"/>
      <c r="W22" s="1589"/>
      <c r="X22" s="1589"/>
    </row>
    <row r="23" spans="1:24" ht="15" customHeight="1">
      <c r="A23" s="1443" t="s">
        <v>20</v>
      </c>
      <c r="B23" s="1589" t="s">
        <v>15</v>
      </c>
      <c r="C23" s="1894">
        <v>25</v>
      </c>
      <c r="D23" s="2502"/>
      <c r="E23" s="1894">
        <v>0</v>
      </c>
      <c r="F23" s="1042"/>
      <c r="G23" s="1544">
        <f>+'Exhibit H'!AA44</f>
        <v>43.9</v>
      </c>
      <c r="H23" s="1042"/>
      <c r="I23" s="1042">
        <f t="shared" si="0"/>
        <v>18.899999999999999</v>
      </c>
      <c r="J23" s="1608"/>
      <c r="K23" s="2502">
        <v>0</v>
      </c>
      <c r="L23" s="1671"/>
      <c r="M23" s="1589"/>
      <c r="N23" s="1589"/>
      <c r="O23" s="1589"/>
      <c r="P23" s="1589"/>
      <c r="Q23" s="1589"/>
      <c r="R23" s="1589"/>
      <c r="S23" s="1589"/>
      <c r="T23" s="1589"/>
      <c r="U23" s="1589"/>
      <c r="V23" s="1589"/>
      <c r="W23" s="1589"/>
      <c r="X23" s="1589"/>
    </row>
    <row r="24" spans="1:24" ht="15" customHeight="1">
      <c r="A24" s="1443" t="s">
        <v>21</v>
      </c>
      <c r="B24" s="1589" t="s">
        <v>15</v>
      </c>
      <c r="C24" s="1894">
        <v>0</v>
      </c>
      <c r="D24" s="2502"/>
      <c r="E24" s="1894">
        <v>0</v>
      </c>
      <c r="F24" s="1042"/>
      <c r="G24" s="1544">
        <f>+'Exhibit H'!AA46</f>
        <v>0</v>
      </c>
      <c r="H24" s="1042"/>
      <c r="I24" s="1042">
        <f t="shared" si="0"/>
        <v>0</v>
      </c>
      <c r="J24" s="1608"/>
      <c r="K24" s="2502">
        <v>0</v>
      </c>
      <c r="L24" s="1671"/>
      <c r="M24" s="1589"/>
      <c r="N24" s="1612"/>
      <c r="O24" s="1589"/>
      <c r="P24" s="1612"/>
      <c r="Q24" s="1613"/>
      <c r="R24" s="1589"/>
      <c r="S24" s="1589"/>
      <c r="T24" s="1589"/>
      <c r="U24" s="1589"/>
      <c r="V24" s="1589"/>
      <c r="W24" s="1589"/>
      <c r="X24" s="1589"/>
    </row>
    <row r="25" spans="1:24">
      <c r="A25" s="1443" t="s">
        <v>48</v>
      </c>
      <c r="B25" s="1613" t="s">
        <v>15</v>
      </c>
      <c r="C25" s="1894">
        <v>364</v>
      </c>
      <c r="D25" s="2502"/>
      <c r="E25" s="1894">
        <v>0</v>
      </c>
      <c r="F25" s="1042"/>
      <c r="G25" s="2381">
        <f>+'Exhibit H'!AA63</f>
        <v>226.4</v>
      </c>
      <c r="H25" s="1042"/>
      <c r="I25" s="1042">
        <f t="shared" si="0"/>
        <v>-137.6</v>
      </c>
      <c r="J25" s="1608"/>
      <c r="K25" s="2502">
        <v>0</v>
      </c>
      <c r="L25" s="1671"/>
      <c r="M25" s="1589"/>
      <c r="N25" s="1612"/>
      <c r="O25" s="1589"/>
      <c r="P25" s="1612"/>
      <c r="Q25" s="1613"/>
      <c r="R25" s="1589"/>
      <c r="S25" s="1589"/>
      <c r="T25" s="1589"/>
      <c r="U25" s="1589"/>
      <c r="V25" s="1589"/>
      <c r="W25" s="1589"/>
      <c r="X25" s="1589"/>
    </row>
    <row r="26" spans="1:24" ht="18" customHeight="1">
      <c r="A26" s="1663" t="s">
        <v>110</v>
      </c>
      <c r="B26" s="341" t="s">
        <v>15</v>
      </c>
      <c r="C26" s="406">
        <f>ROUND(SUM(C20:C25),1)</f>
        <v>3931</v>
      </c>
      <c r="D26" s="301"/>
      <c r="E26" s="406">
        <f>ROUND(SUM(E20:E25),1)</f>
        <v>0</v>
      </c>
      <c r="F26" s="1587"/>
      <c r="G26" s="2382">
        <f>ROUND(SUM(G20:G25),1)</f>
        <v>3788.2</v>
      </c>
      <c r="H26" s="1587"/>
      <c r="I26" s="406">
        <f>ROUND(SUM(I20:I25),1)</f>
        <v>-142.80000000000001</v>
      </c>
      <c r="J26" s="264"/>
      <c r="K26" s="406">
        <f>ROUND(SUM(K20:K25),1)</f>
        <v>0</v>
      </c>
      <c r="L26" s="1671"/>
      <c r="M26" s="341"/>
      <c r="N26" s="341"/>
      <c r="O26" s="341"/>
      <c r="P26" s="341"/>
      <c r="Q26" s="341"/>
      <c r="R26" s="341"/>
      <c r="S26" s="341"/>
      <c r="T26" s="341"/>
      <c r="U26" s="341"/>
      <c r="V26" s="341"/>
      <c r="W26" s="341"/>
      <c r="X26" s="341"/>
    </row>
    <row r="27" spans="1:24">
      <c r="A27" s="1212"/>
      <c r="B27" s="1589"/>
      <c r="C27" s="1210"/>
      <c r="D27" s="1544"/>
      <c r="E27" s="1210"/>
      <c r="F27" s="1042"/>
      <c r="G27" s="1758"/>
      <c r="H27" s="1042"/>
      <c r="I27" s="1210"/>
      <c r="J27" s="1608"/>
      <c r="K27" s="1210"/>
      <c r="L27" s="1671"/>
      <c r="M27" s="1589"/>
      <c r="N27" s="1589"/>
      <c r="O27" s="1589"/>
      <c r="P27" s="1589"/>
      <c r="Q27" s="1589"/>
      <c r="R27" s="1589"/>
      <c r="S27" s="1589"/>
      <c r="T27" s="1589"/>
      <c r="U27" s="1589"/>
      <c r="V27" s="1589"/>
      <c r="W27" s="1589"/>
      <c r="X27" s="1589"/>
    </row>
    <row r="28" spans="1:24" ht="15.75">
      <c r="A28" s="216" t="s">
        <v>23</v>
      </c>
      <c r="B28" s="1589"/>
      <c r="C28" s="1042"/>
      <c r="D28" s="1544"/>
      <c r="E28" s="2502"/>
      <c r="F28" s="1042"/>
      <c r="G28" s="1544"/>
      <c r="H28" s="1042"/>
      <c r="I28" s="1042"/>
      <c r="J28" s="1608"/>
      <c r="K28" s="1042"/>
      <c r="L28" s="1671"/>
      <c r="M28" s="1589"/>
      <c r="N28" s="1589"/>
      <c r="O28" s="1589"/>
      <c r="P28" s="1589"/>
      <c r="Q28" s="1589"/>
      <c r="R28" s="1589"/>
      <c r="S28" s="1589"/>
      <c r="T28" s="1589"/>
      <c r="U28" s="1589"/>
      <c r="V28" s="1589"/>
      <c r="W28" s="1589"/>
      <c r="X28" s="1589"/>
    </row>
    <row r="29" spans="1:24">
      <c r="A29" s="1443" t="s">
        <v>96</v>
      </c>
      <c r="B29" s="1610" t="s">
        <v>15</v>
      </c>
      <c r="C29" s="1894">
        <v>1</v>
      </c>
      <c r="D29" s="2502"/>
      <c r="E29" s="1894">
        <v>0</v>
      </c>
      <c r="F29" s="1042"/>
      <c r="G29" s="1206">
        <f>+'Exhibit H'!AA52</f>
        <v>0.8</v>
      </c>
      <c r="H29" s="1042"/>
      <c r="I29" s="2502">
        <f t="shared" ref="I29:I31" si="1">G29-C29</f>
        <v>-0.19999999999999996</v>
      </c>
      <c r="J29" s="1608"/>
      <c r="K29" s="2502">
        <v>0</v>
      </c>
      <c r="L29" s="1671"/>
      <c r="M29" s="1589"/>
      <c r="N29" s="1610"/>
      <c r="O29" s="1589"/>
      <c r="P29" s="1612"/>
      <c r="Q29" s="1589"/>
      <c r="R29" s="1589"/>
      <c r="S29" s="1612"/>
      <c r="T29" s="1612"/>
      <c r="U29" s="1589"/>
      <c r="V29" s="1612"/>
      <c r="W29" s="1589"/>
      <c r="X29" s="1612"/>
    </row>
    <row r="30" spans="1:24" ht="14.25" customHeight="1">
      <c r="A30" s="1443" t="s">
        <v>97</v>
      </c>
      <c r="B30" s="1613" t="s">
        <v>15</v>
      </c>
      <c r="C30" s="1894">
        <v>64</v>
      </c>
      <c r="D30" s="2502"/>
      <c r="E30" s="1894">
        <v>0</v>
      </c>
      <c r="F30" s="1042"/>
      <c r="G30" s="1894">
        <f>+'Exhibit H'!AA54</f>
        <v>64.099999999999994</v>
      </c>
      <c r="H30" s="1042"/>
      <c r="I30" s="2502">
        <f t="shared" si="1"/>
        <v>9.9999999999994316E-2</v>
      </c>
      <c r="J30" s="1608"/>
      <c r="K30" s="2502">
        <v>0</v>
      </c>
      <c r="L30" s="1671"/>
      <c r="M30" s="1589"/>
      <c r="N30" s="1610"/>
      <c r="O30" s="1589"/>
      <c r="P30" s="1589"/>
      <c r="Q30" s="1589"/>
      <c r="R30" s="1589"/>
      <c r="S30" s="1612"/>
      <c r="T30" s="1612"/>
      <c r="U30" s="1589"/>
      <c r="V30" s="1612"/>
      <c r="W30" s="1589"/>
      <c r="X30" s="1612"/>
    </row>
    <row r="31" spans="1:24">
      <c r="A31" s="1443" t="s">
        <v>100</v>
      </c>
      <c r="B31" s="1613" t="s">
        <v>15</v>
      </c>
      <c r="C31" s="1894">
        <v>3550</v>
      </c>
      <c r="D31" s="2502"/>
      <c r="E31" s="1894">
        <v>0</v>
      </c>
      <c r="F31" s="1042"/>
      <c r="G31" s="1206">
        <f>-'Exhibit H'!AA64</f>
        <v>3529.7</v>
      </c>
      <c r="H31" s="1042"/>
      <c r="I31" s="2502">
        <f t="shared" si="1"/>
        <v>-20.300000000000182</v>
      </c>
      <c r="J31" s="1608"/>
      <c r="K31" s="2502">
        <v>0</v>
      </c>
      <c r="L31" s="1671"/>
      <c r="M31" s="1589"/>
      <c r="N31" s="1612"/>
      <c r="O31" s="1589"/>
      <c r="P31" s="1612"/>
      <c r="Q31" s="1613"/>
      <c r="R31" s="1589"/>
      <c r="S31" s="1589"/>
      <c r="T31" s="1589"/>
      <c r="U31" s="1589"/>
      <c r="V31" s="1589"/>
      <c r="W31" s="1589"/>
      <c r="X31" s="1589"/>
    </row>
    <row r="32" spans="1:24" ht="18" customHeight="1">
      <c r="A32" s="1663" t="s">
        <v>119</v>
      </c>
      <c r="B32" s="341" t="s">
        <v>15</v>
      </c>
      <c r="C32" s="406">
        <f>ROUND(SUM(C29:C31),1)</f>
        <v>3615</v>
      </c>
      <c r="D32" s="301"/>
      <c r="E32" s="406">
        <f>ROUND(SUM(E29:E31),1)</f>
        <v>0</v>
      </c>
      <c r="F32" s="1587"/>
      <c r="G32" s="2382">
        <f>ROUND(SUM(G29:G31),1)</f>
        <v>3594.6</v>
      </c>
      <c r="H32" s="1587"/>
      <c r="I32" s="406">
        <f>ROUND(SUM(I29:I31),1)</f>
        <v>-20.399999999999999</v>
      </c>
      <c r="J32" s="264"/>
      <c r="K32" s="406">
        <f>ROUND(SUM(K29:K31),1)</f>
        <v>0</v>
      </c>
      <c r="L32" s="1671"/>
      <c r="M32" s="341"/>
      <c r="N32" s="341"/>
      <c r="O32" s="341"/>
      <c r="P32" s="341"/>
      <c r="Q32" s="341"/>
      <c r="R32" s="341"/>
      <c r="S32" s="341"/>
      <c r="T32" s="341"/>
      <c r="U32" s="341"/>
      <c r="V32" s="341"/>
      <c r="W32" s="341"/>
      <c r="X32" s="341"/>
    </row>
    <row r="33" spans="1:24">
      <c r="A33" s="1212"/>
      <c r="B33" s="1589"/>
      <c r="C33" s="1210"/>
      <c r="D33" s="1544"/>
      <c r="E33" s="1210"/>
      <c r="F33" s="1042"/>
      <c r="G33" s="1758"/>
      <c r="H33" s="1042"/>
      <c r="I33" s="1210"/>
      <c r="J33" s="1608"/>
      <c r="K33" s="1210"/>
      <c r="L33" s="1671"/>
      <c r="M33" s="1589"/>
      <c r="N33" s="1589"/>
      <c r="O33" s="1589"/>
      <c r="P33" s="1589"/>
      <c r="Q33" s="1589"/>
      <c r="R33" s="1589"/>
      <c r="S33" s="1589"/>
      <c r="T33" s="1589"/>
      <c r="U33" s="1589"/>
      <c r="V33" s="1589"/>
      <c r="W33" s="1589"/>
      <c r="X33" s="1589"/>
    </row>
    <row r="34" spans="1:24" ht="15.75">
      <c r="A34" s="216" t="s">
        <v>120</v>
      </c>
      <c r="B34" s="1589"/>
      <c r="C34" s="1042"/>
      <c r="D34" s="1544"/>
      <c r="E34" s="2502"/>
      <c r="F34" s="1042"/>
      <c r="G34" s="1544"/>
      <c r="H34" s="1042"/>
      <c r="I34" s="1042"/>
      <c r="J34" s="1608"/>
      <c r="K34" s="1042"/>
      <c r="L34" s="1671"/>
      <c r="M34" s="1589"/>
      <c r="N34" s="1589"/>
      <c r="O34" s="1589"/>
      <c r="P34" s="1589"/>
      <c r="Q34" s="1589"/>
      <c r="R34" s="1589"/>
      <c r="S34" s="1589"/>
      <c r="T34" s="1589"/>
      <c r="U34" s="1589"/>
      <c r="V34" s="1589"/>
      <c r="W34" s="1589"/>
      <c r="X34" s="1589"/>
    </row>
    <row r="35" spans="1:24" ht="15.75">
      <c r="A35" s="216" t="s">
        <v>121</v>
      </c>
      <c r="B35" s="1589"/>
      <c r="C35" s="1042"/>
      <c r="D35" s="1544"/>
      <c r="E35" s="2502"/>
      <c r="F35" s="1042"/>
      <c r="G35" s="1544"/>
      <c r="H35" s="1042"/>
      <c r="I35" s="1042"/>
      <c r="J35" s="1608"/>
      <c r="K35" s="1042"/>
      <c r="L35" s="1671"/>
      <c r="M35" s="1589"/>
      <c r="N35" s="1589"/>
      <c r="O35" s="1589"/>
      <c r="P35" s="1589"/>
      <c r="Q35" s="1589"/>
      <c r="R35" s="1589"/>
      <c r="S35" s="1589"/>
      <c r="T35" s="1589"/>
      <c r="U35" s="1589"/>
      <c r="V35" s="1589"/>
      <c r="W35" s="1589"/>
      <c r="X35" s="1589"/>
    </row>
    <row r="36" spans="1:24" ht="15.75">
      <c r="A36" s="1663" t="s">
        <v>104</v>
      </c>
      <c r="B36" s="1659" t="s">
        <v>15</v>
      </c>
      <c r="C36" s="264">
        <f>C26-C32</f>
        <v>316</v>
      </c>
      <c r="D36" s="1853"/>
      <c r="E36" s="2503">
        <f>E26-E32</f>
        <v>0</v>
      </c>
      <c r="F36" s="273"/>
      <c r="G36" s="304">
        <f>ROUND(SUM(G26)-SUM(G32),1)</f>
        <v>193.6</v>
      </c>
      <c r="H36" s="273"/>
      <c r="I36" s="264">
        <f>ROUND(SUM(I26)-SUM(I32),1)</f>
        <v>-122.4</v>
      </c>
      <c r="J36" s="692"/>
      <c r="K36" s="264">
        <f>ROUND(SUM(K26)-SUM(K32),1)</f>
        <v>0</v>
      </c>
      <c r="L36" s="1671"/>
      <c r="M36" s="364"/>
      <c r="N36" s="341"/>
      <c r="O36" s="364"/>
      <c r="P36" s="341"/>
      <c r="Q36" s="341"/>
      <c r="R36" s="364"/>
      <c r="S36" s="341"/>
      <c r="T36" s="341"/>
      <c r="U36" s="364"/>
      <c r="V36" s="341"/>
      <c r="W36" s="364"/>
      <c r="X36" s="341"/>
    </row>
    <row r="37" spans="1:24" ht="15" customHeight="1">
      <c r="C37" s="1131"/>
      <c r="D37" s="2748"/>
      <c r="E37" s="1131"/>
      <c r="F37" s="1597"/>
      <c r="G37" s="2383"/>
      <c r="H37" s="1597"/>
      <c r="I37" s="1131"/>
      <c r="J37" s="1131"/>
      <c r="K37" s="1131"/>
      <c r="L37" s="1671"/>
    </row>
    <row r="38" spans="1:24" ht="15.75">
      <c r="A38" s="1679" t="str">
        <f>'Exh D-Governmental  '!A49</f>
        <v>Fund Balances (Deficits) at April 1</v>
      </c>
      <c r="B38" s="1021" t="s">
        <v>15</v>
      </c>
      <c r="C38" s="304">
        <v>153</v>
      </c>
      <c r="D38" s="2748"/>
      <c r="E38" s="304">
        <v>0</v>
      </c>
      <c r="F38" s="1597"/>
      <c r="G38" s="304">
        <f>'Exhibit H'!AA12</f>
        <v>153.1</v>
      </c>
      <c r="H38" s="1597"/>
      <c r="I38" s="270">
        <f>G38-C38</f>
        <v>9.9999999999994316E-2</v>
      </c>
      <c r="J38" s="1131"/>
      <c r="K38" s="270">
        <v>0</v>
      </c>
      <c r="L38" s="1671"/>
    </row>
    <row r="39" spans="1:24" ht="18" customHeight="1" thickBot="1">
      <c r="A39" s="2245" t="str">
        <f>+'Exh D-Governmental  '!A50</f>
        <v>Fund Balances (Deficits) at April 30, 2018</v>
      </c>
      <c r="B39" s="370" t="s">
        <v>15</v>
      </c>
      <c r="C39" s="287">
        <f>ROUND(SUM(C36:C38),1)</f>
        <v>469</v>
      </c>
      <c r="D39" s="371"/>
      <c r="E39" s="287">
        <f>ROUND(SUM(E36:E38),1)</f>
        <v>0</v>
      </c>
      <c r="F39" s="371"/>
      <c r="G39" s="2384">
        <f>ROUND(SUM(G36:G38),1)</f>
        <v>346.7</v>
      </c>
      <c r="H39" s="371"/>
      <c r="I39" s="287">
        <f>ROUND(SUM(I36:I38),1)</f>
        <v>-122.3</v>
      </c>
      <c r="K39" s="287">
        <f>ROUND(SUM(K36:K38),1)</f>
        <v>0</v>
      </c>
      <c r="L39" s="1671"/>
    </row>
    <row r="40" spans="1:24" ht="15" customHeight="1" thickTop="1">
      <c r="A40" s="345"/>
      <c r="C40" s="1211"/>
      <c r="D40" s="1614"/>
      <c r="E40" s="1211"/>
      <c r="F40" s="1614"/>
      <c r="G40" s="1614"/>
      <c r="H40" s="1614"/>
      <c r="I40" s="1614"/>
      <c r="K40" s="1614"/>
    </row>
    <row r="41" spans="1:24">
      <c r="A41" s="1601" t="str">
        <f>'Exh D-Governmental  '!A52</f>
        <v>(*)    Source: 2018-19 Enacted Financial Plan dated May 11, 2018.</v>
      </c>
    </row>
    <row r="42" spans="1:24">
      <c r="A42" s="2405"/>
    </row>
    <row r="43" spans="1:24">
      <c r="A43" s="1615"/>
    </row>
    <row r="44" spans="1:24">
      <c r="A44" s="1615"/>
    </row>
    <row r="46" spans="1:24">
      <c r="A46" s="394"/>
    </row>
    <row r="47" spans="1:24">
      <c r="A47" s="394"/>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C11:I11"/>
    <mergeCell ref="A5:E5"/>
  </mergeCells>
  <pageMargins left="0.75" right="0.75" top="0.75" bottom="0.75" header="0.5" footer="0.25"/>
  <pageSetup scale="71" firstPageNumber="12"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80" workbookViewId="0"/>
  </sheetViews>
  <sheetFormatPr defaultColWidth="8.88671875" defaultRowHeight="15"/>
  <cols>
    <col min="1" max="1" width="54" style="1596" customWidth="1"/>
    <col min="2" max="2" width="2.109375" style="1600" customWidth="1"/>
    <col min="3" max="3" width="18.109375" style="732" bestFit="1" customWidth="1"/>
    <col min="4" max="4" width="0.88671875" style="1600" customWidth="1"/>
    <col min="5" max="5" width="15.44140625" style="732" customWidth="1"/>
    <col min="6" max="6" width="0.6640625" style="1600" customWidth="1"/>
    <col min="7" max="7" width="14" style="1600" customWidth="1"/>
    <col min="8" max="8" width="1.44140625" style="1600" customWidth="1"/>
    <col min="9" max="9" width="15" style="1600" customWidth="1"/>
    <col min="10" max="10" width="1.5546875" style="1600" customWidth="1"/>
    <col min="11" max="11" width="15" style="1600" customWidth="1"/>
    <col min="12" max="12" width="1" style="1600" customWidth="1"/>
    <col min="13" max="13" width="15.21875" style="1616" customWidth="1"/>
    <col min="14" max="14" width="1" style="1600" customWidth="1"/>
    <col min="15" max="15" width="14" style="1600" customWidth="1"/>
    <col min="16" max="19" width="8.88671875" style="1600"/>
    <col min="20" max="16384" width="8.88671875" style="1596"/>
  </cols>
  <sheetData>
    <row r="1" spans="1:34">
      <c r="A1" s="1052" t="s">
        <v>1064</v>
      </c>
    </row>
    <row r="2" spans="1:34" ht="16.5">
      <c r="A2" s="375"/>
      <c r="B2" s="377"/>
      <c r="C2" s="726"/>
      <c r="D2" s="377"/>
      <c r="E2" s="726"/>
      <c r="F2" s="377"/>
      <c r="G2" s="377"/>
      <c r="H2" s="377"/>
      <c r="I2" s="377"/>
      <c r="J2" s="377"/>
      <c r="K2" s="377"/>
      <c r="L2" s="377"/>
      <c r="M2" s="2711"/>
    </row>
    <row r="3" spans="1:34" ht="21" customHeight="1">
      <c r="A3" s="381" t="s">
        <v>0</v>
      </c>
      <c r="B3" s="338"/>
      <c r="C3" s="728"/>
      <c r="D3" s="332"/>
      <c r="E3" s="729"/>
      <c r="F3" s="332"/>
      <c r="G3" s="332"/>
      <c r="H3" s="332"/>
      <c r="I3" s="332"/>
      <c r="J3" s="332"/>
      <c r="K3" s="332"/>
      <c r="L3" s="332"/>
      <c r="M3" s="1452"/>
      <c r="O3" s="1452" t="s">
        <v>85</v>
      </c>
    </row>
    <row r="4" spans="1:34" ht="18">
      <c r="A4" s="381" t="s">
        <v>84</v>
      </c>
      <c r="B4" s="338"/>
      <c r="C4" s="728"/>
      <c r="D4" s="332"/>
      <c r="E4" s="729"/>
      <c r="F4" s="332"/>
      <c r="G4" s="332"/>
      <c r="H4" s="332"/>
      <c r="I4" s="332"/>
      <c r="J4" s="332"/>
      <c r="K4" s="332"/>
      <c r="L4" s="332"/>
      <c r="M4" s="1453"/>
      <c r="O4" s="1453"/>
    </row>
    <row r="5" spans="1:34">
      <c r="A5" s="3741" t="str">
        <f>'Exh D-Governmental  '!A5:E5</f>
        <v>FISCAL YEAR 2018-2019</v>
      </c>
      <c r="B5" s="3742"/>
      <c r="C5" s="3742"/>
      <c r="D5" s="3742"/>
      <c r="E5" s="3742"/>
      <c r="F5" s="332"/>
      <c r="G5" s="332"/>
      <c r="H5" s="332"/>
      <c r="I5" s="332"/>
      <c r="J5" s="332"/>
      <c r="K5" s="332"/>
      <c r="L5" s="332"/>
      <c r="M5" s="338"/>
    </row>
    <row r="6" spans="1:34" ht="18.95" customHeight="1">
      <c r="A6" s="2366" t="str">
        <f>+'Exh D-Governmental  '!A6</f>
        <v>FOR ONE MONTH ENDED APRIL 30, 2018</v>
      </c>
      <c r="B6" s="337"/>
      <c r="C6" s="728"/>
      <c r="D6" s="332"/>
      <c r="E6" s="729"/>
      <c r="F6" s="332"/>
      <c r="G6" s="332"/>
      <c r="H6" s="332"/>
      <c r="I6" s="332"/>
      <c r="J6" s="332"/>
      <c r="K6" s="332"/>
      <c r="L6" s="332"/>
      <c r="M6" s="338"/>
      <c r="N6" s="332"/>
      <c r="O6" s="346"/>
      <c r="P6" s="346"/>
      <c r="Q6" s="346"/>
      <c r="R6" s="346"/>
      <c r="S6" s="346"/>
      <c r="T6" s="346"/>
      <c r="U6" s="346"/>
      <c r="V6" s="346"/>
      <c r="W6" s="346"/>
      <c r="X6" s="346"/>
      <c r="Y6" s="346"/>
      <c r="Z6" s="346"/>
      <c r="AA6" s="346"/>
      <c r="AB6" s="346"/>
      <c r="AC6" s="1021"/>
      <c r="AD6" s="1021"/>
      <c r="AE6" s="1021"/>
      <c r="AF6" s="1021"/>
      <c r="AG6" s="1021"/>
      <c r="AH6" s="1600"/>
    </row>
    <row r="7" spans="1:34" ht="18">
      <c r="A7" s="381" t="s">
        <v>958</v>
      </c>
      <c r="B7" s="338"/>
      <c r="C7" s="728"/>
      <c r="D7" s="332"/>
      <c r="E7" s="729"/>
      <c r="F7" s="332"/>
      <c r="G7" s="332"/>
      <c r="H7" s="332"/>
      <c r="I7" s="332"/>
      <c r="J7" s="332"/>
      <c r="K7" s="332"/>
      <c r="L7" s="332"/>
      <c r="M7" s="338"/>
    </row>
    <row r="8" spans="1:34" ht="18">
      <c r="A8" s="383"/>
      <c r="B8" s="338"/>
      <c r="C8" s="1664"/>
      <c r="D8" s="346"/>
      <c r="E8" s="729"/>
      <c r="F8" s="332"/>
      <c r="G8" s="332"/>
      <c r="H8" s="332"/>
      <c r="I8" s="332"/>
      <c r="J8" s="332"/>
      <c r="K8" s="332"/>
      <c r="L8" s="332"/>
      <c r="M8" s="338"/>
    </row>
    <row r="9" spans="1:34">
      <c r="A9" s="340"/>
      <c r="B9" s="332"/>
      <c r="C9" s="1994"/>
      <c r="D9" s="346"/>
      <c r="E9" s="729"/>
      <c r="F9" s="332"/>
      <c r="G9" s="332"/>
      <c r="H9" s="332"/>
      <c r="I9" s="332"/>
      <c r="J9" s="332"/>
      <c r="K9" s="332"/>
      <c r="L9" s="332"/>
      <c r="M9" s="338"/>
    </row>
    <row r="10" spans="1:34">
      <c r="A10" s="340"/>
      <c r="B10" s="332"/>
      <c r="C10" s="1664"/>
      <c r="D10" s="337"/>
      <c r="E10" s="728"/>
      <c r="F10" s="338"/>
      <c r="G10" s="338"/>
      <c r="H10" s="338"/>
      <c r="I10" s="338"/>
      <c r="J10" s="338"/>
      <c r="K10" s="338"/>
      <c r="L10" s="338"/>
      <c r="M10" s="338"/>
      <c r="N10" s="1616"/>
    </row>
    <row r="11" spans="1:34" ht="15.75">
      <c r="A11" s="1212"/>
      <c r="B11" s="341"/>
      <c r="C11" s="1989"/>
      <c r="D11" s="2000"/>
      <c r="E11" s="1989"/>
      <c r="F11" s="1998"/>
      <c r="G11" s="2013"/>
      <c r="H11" s="1998"/>
      <c r="I11" s="2301" t="s">
        <v>1250</v>
      </c>
      <c r="J11" s="2709"/>
      <c r="K11" s="2709"/>
      <c r="L11" s="2709"/>
      <c r="M11" s="1998"/>
      <c r="N11" s="2001"/>
      <c r="O11" s="1983"/>
    </row>
    <row r="12" spans="1:34" ht="15.75">
      <c r="A12" s="1212"/>
      <c r="B12" s="341"/>
      <c r="C12" s="342"/>
      <c r="D12" s="342"/>
      <c r="E12" s="342"/>
      <c r="F12" s="342"/>
      <c r="G12" s="342"/>
      <c r="H12" s="342"/>
      <c r="I12" s="342"/>
      <c r="J12" s="342"/>
      <c r="K12" s="342"/>
      <c r="L12" s="342"/>
      <c r="M12" s="389" t="s">
        <v>86</v>
      </c>
      <c r="N12" s="343"/>
      <c r="O12" s="343" t="s">
        <v>86</v>
      </c>
    </row>
    <row r="13" spans="1:34" ht="15.75">
      <c r="A13" s="1212"/>
      <c r="B13" s="341"/>
      <c r="C13" s="342"/>
      <c r="D13" s="342"/>
      <c r="E13" s="342"/>
      <c r="F13" s="342"/>
      <c r="G13" s="342"/>
      <c r="H13" s="342"/>
      <c r="I13" s="342"/>
      <c r="J13" s="342"/>
      <c r="K13" s="342"/>
      <c r="L13" s="342"/>
      <c r="M13" s="389" t="s">
        <v>965</v>
      </c>
      <c r="N13" s="343"/>
      <c r="O13" s="343" t="s">
        <v>965</v>
      </c>
    </row>
    <row r="14" spans="1:34" ht="15.75">
      <c r="A14" s="1212"/>
      <c r="B14" s="341"/>
      <c r="C14" s="344" t="s">
        <v>1190</v>
      </c>
      <c r="D14" s="342"/>
      <c r="E14" s="343" t="s">
        <v>1191</v>
      </c>
      <c r="F14" s="342"/>
      <c r="G14" s="342"/>
      <c r="H14" s="342"/>
      <c r="I14" s="342"/>
      <c r="J14" s="342"/>
      <c r="K14" s="342"/>
      <c r="L14" s="342"/>
      <c r="M14" s="389" t="s">
        <v>87</v>
      </c>
      <c r="N14" s="343"/>
      <c r="O14" s="343" t="s">
        <v>87</v>
      </c>
    </row>
    <row r="15" spans="1:34" ht="15.75" customHeight="1">
      <c r="A15" s="1212"/>
      <c r="B15" s="341"/>
      <c r="C15" s="343" t="s">
        <v>1232</v>
      </c>
      <c r="D15" s="342"/>
      <c r="E15" s="343" t="s">
        <v>1232</v>
      </c>
      <c r="F15" s="342"/>
      <c r="G15" s="342"/>
      <c r="H15" s="342"/>
      <c r="I15" s="342"/>
      <c r="J15" s="342"/>
      <c r="K15" s="342"/>
      <c r="L15" s="342"/>
      <c r="M15" s="389" t="s">
        <v>1190</v>
      </c>
      <c r="N15" s="343"/>
      <c r="O15" s="343" t="s">
        <v>1191</v>
      </c>
    </row>
    <row r="16" spans="1:34" ht="15.75">
      <c r="A16" s="1212"/>
      <c r="B16" s="341"/>
      <c r="C16" s="343" t="s">
        <v>1233</v>
      </c>
      <c r="D16" s="342"/>
      <c r="E16" s="343" t="s">
        <v>1524</v>
      </c>
      <c r="F16" s="342"/>
      <c r="G16" s="344" t="s">
        <v>86</v>
      </c>
      <c r="H16" s="342"/>
      <c r="I16" s="2031" t="s">
        <v>1390</v>
      </c>
      <c r="J16" s="342"/>
      <c r="K16" s="2031" t="s">
        <v>885</v>
      </c>
      <c r="L16" s="342"/>
      <c r="M16" s="389" t="s">
        <v>88</v>
      </c>
      <c r="N16" s="343"/>
      <c r="O16" s="343" t="s">
        <v>88</v>
      </c>
    </row>
    <row r="17" spans="1:34">
      <c r="A17" s="345"/>
      <c r="B17" s="346"/>
      <c r="C17" s="347"/>
      <c r="D17" s="346"/>
      <c r="E17" s="347"/>
      <c r="F17" s="332"/>
      <c r="G17" s="347"/>
      <c r="H17" s="332"/>
      <c r="I17" s="332"/>
      <c r="J17" s="332"/>
      <c r="K17" s="332"/>
      <c r="L17" s="332"/>
      <c r="M17" s="2712"/>
      <c r="O17" s="347"/>
    </row>
    <row r="18" spans="1:34" ht="15.75">
      <c r="A18" s="216" t="s">
        <v>14</v>
      </c>
      <c r="B18" s="1589"/>
      <c r="C18" s="1115"/>
      <c r="D18" s="1589"/>
      <c r="E18" s="1115"/>
      <c r="F18" s="1115"/>
      <c r="G18" s="1115" t="s">
        <v>15</v>
      </c>
      <c r="H18" s="1115"/>
      <c r="I18" s="1115"/>
      <c r="J18" s="1115"/>
      <c r="K18" s="1115"/>
      <c r="L18" s="1115"/>
      <c r="M18" s="2713"/>
      <c r="O18" s="1115"/>
    </row>
    <row r="19" spans="1:34">
      <c r="A19" s="1443" t="s">
        <v>89</v>
      </c>
      <c r="B19" s="1590" t="s">
        <v>15</v>
      </c>
      <c r="C19" s="1116"/>
      <c r="D19" s="1671"/>
      <c r="E19" s="1116"/>
      <c r="F19" s="1116"/>
      <c r="G19" s="1618"/>
      <c r="H19" s="1118"/>
      <c r="I19" s="1118"/>
      <c r="J19" s="1118"/>
      <c r="K19" s="1118"/>
      <c r="L19" s="1118"/>
      <c r="M19" s="1543"/>
      <c r="N19" s="1589"/>
      <c r="O19" s="1116"/>
      <c r="P19" s="1589"/>
      <c r="Q19" s="1589"/>
      <c r="R19" s="1589"/>
      <c r="S19" s="1589"/>
      <c r="T19" s="1589"/>
      <c r="U19" s="1589"/>
      <c r="V19" s="1589"/>
      <c r="W19" s="1589"/>
      <c r="X19" s="1589"/>
      <c r="Y19" s="1589"/>
      <c r="Z19" s="1589"/>
      <c r="AA19" s="1589"/>
      <c r="AB19" s="1589"/>
      <c r="AC19" s="1021"/>
      <c r="AD19" s="1021"/>
      <c r="AE19" s="1021"/>
      <c r="AF19" s="1021"/>
      <c r="AG19" s="1021"/>
      <c r="AH19" s="1600"/>
    </row>
    <row r="20" spans="1:34">
      <c r="A20" s="1443" t="s">
        <v>91</v>
      </c>
      <c r="B20" s="1589" t="s">
        <v>15</v>
      </c>
      <c r="C20" s="1606">
        <f>'Exh D Captl Projects State Fed'!C20+'Exh D Captl Projects State Fed'!M20</f>
        <v>49</v>
      </c>
      <c r="D20" s="1608"/>
      <c r="E20" s="1606">
        <f>'Exh D Captl Projects State Fed'!E20+'Exh D Captl Projects State Fed'!O20</f>
        <v>0</v>
      </c>
      <c r="F20" s="1117"/>
      <c r="G20" s="1606">
        <f>+'Exh D Captl Projects State Fed'!G20</f>
        <v>44.4</v>
      </c>
      <c r="H20" s="1117"/>
      <c r="I20" s="1606">
        <v>0</v>
      </c>
      <c r="J20" s="1117"/>
      <c r="K20" s="2734">
        <f>+G20+I20</f>
        <v>44.4</v>
      </c>
      <c r="L20" s="1117"/>
      <c r="M20" s="1543">
        <f t="shared" ref="M20:M26" si="0">ROUND(SUM(K20)-SUM(C20),1)</f>
        <v>-4.5999999999999996</v>
      </c>
      <c r="N20" s="1589"/>
      <c r="O20" s="1543">
        <v>0</v>
      </c>
      <c r="P20" s="1589"/>
      <c r="Q20" s="1589"/>
      <c r="R20" s="1589"/>
      <c r="S20" s="1589"/>
      <c r="T20" s="1589"/>
      <c r="U20" s="1589"/>
      <c r="V20" s="1589"/>
      <c r="W20" s="1589"/>
      <c r="X20" s="1589"/>
      <c r="Y20" s="1589"/>
      <c r="Z20" s="1589"/>
      <c r="AA20" s="1589"/>
      <c r="AB20" s="1589"/>
      <c r="AC20" s="1021"/>
      <c r="AD20" s="1021"/>
      <c r="AE20" s="1021"/>
      <c r="AF20" s="1021"/>
      <c r="AG20" s="1021"/>
      <c r="AH20" s="1600"/>
    </row>
    <row r="21" spans="1:34">
      <c r="A21" s="1443" t="s">
        <v>92</v>
      </c>
      <c r="B21" s="1590" t="s">
        <v>15</v>
      </c>
      <c r="C21" s="1208">
        <f>'Exh D Captl Projects State Fed'!C21+'Exh D Captl Projects State Fed'!M21</f>
        <v>54</v>
      </c>
      <c r="D21" s="1608"/>
      <c r="E21" s="1208">
        <f>'Exh D Captl Projects State Fed'!E21+'Exh D Captl Projects State Fed'!O21</f>
        <v>0</v>
      </c>
      <c r="F21" s="1117"/>
      <c r="G21" s="1208">
        <f>+'Exh D Captl Projects State Fed'!G21</f>
        <v>67.599999999999994</v>
      </c>
      <c r="H21" s="1117"/>
      <c r="I21" s="1117">
        <v>0</v>
      </c>
      <c r="J21" s="1117"/>
      <c r="K21" s="2735">
        <f t="shared" ref="K21:K26" si="1">+G21+I21</f>
        <v>67.599999999999994</v>
      </c>
      <c r="L21" s="1117"/>
      <c r="M21" s="1544">
        <f t="shared" si="0"/>
        <v>13.6</v>
      </c>
      <c r="N21" s="1610"/>
      <c r="O21" s="1544">
        <v>0</v>
      </c>
      <c r="P21" s="1589"/>
      <c r="Q21" s="1610"/>
      <c r="R21" s="1589"/>
      <c r="S21" s="1610"/>
      <c r="T21" s="1589"/>
      <c r="U21" s="1589"/>
      <c r="V21" s="1610"/>
      <c r="W21" s="1589"/>
      <c r="X21" s="1589"/>
      <c r="Y21" s="1610"/>
      <c r="Z21" s="393"/>
      <c r="AA21" s="1610"/>
      <c r="AB21" s="1589"/>
      <c r="AC21" s="1021"/>
      <c r="AD21" s="1021"/>
      <c r="AE21" s="1021"/>
      <c r="AF21" s="1021"/>
      <c r="AG21" s="1021"/>
      <c r="AH21" s="1600"/>
    </row>
    <row r="22" spans="1:34">
      <c r="A22" s="1443" t="s">
        <v>93</v>
      </c>
      <c r="B22" s="1589" t="s">
        <v>15</v>
      </c>
      <c r="C22" s="1208">
        <f>'Exh D Captl Projects State Fed'!C22+'Exh D Captl Projects State Fed'!M22</f>
        <v>0</v>
      </c>
      <c r="D22" s="1608"/>
      <c r="E22" s="1208">
        <f>'Exh D Captl Projects State Fed'!E22+'Exh D Captl Projects State Fed'!O22</f>
        <v>0</v>
      </c>
      <c r="F22" s="1117"/>
      <c r="G22" s="1208">
        <f>+'Exh D Captl Projects State Fed'!G22</f>
        <v>0</v>
      </c>
      <c r="H22" s="1117"/>
      <c r="I22" s="1117">
        <v>0</v>
      </c>
      <c r="J22" s="1117"/>
      <c r="K22" s="2735">
        <f>+G22+I22</f>
        <v>0</v>
      </c>
      <c r="L22" s="1117"/>
      <c r="M22" s="1544">
        <f t="shared" si="0"/>
        <v>0</v>
      </c>
      <c r="N22" s="1589"/>
      <c r="O22" s="1544">
        <v>0</v>
      </c>
      <c r="P22" s="1589"/>
      <c r="Q22" s="1589"/>
      <c r="R22" s="1589"/>
      <c r="S22" s="1589"/>
      <c r="T22" s="1589"/>
      <c r="U22" s="1589"/>
      <c r="V22" s="1589"/>
      <c r="W22" s="1589"/>
      <c r="X22" s="1589"/>
      <c r="Y22" s="1589"/>
      <c r="Z22" s="1589"/>
      <c r="AA22" s="1589"/>
      <c r="AB22" s="1589"/>
      <c r="AC22" s="1021"/>
      <c r="AD22" s="1021"/>
      <c r="AE22" s="1021"/>
      <c r="AF22" s="1021"/>
      <c r="AG22" s="1021"/>
      <c r="AH22" s="1600"/>
    </row>
    <row r="23" spans="1:34">
      <c r="A23" s="1443" t="s">
        <v>20</v>
      </c>
      <c r="B23" s="1589" t="s">
        <v>15</v>
      </c>
      <c r="C23" s="1208">
        <f>'Exh D Captl Projects State Fed'!C23+'Exh D Captl Projects State Fed'!M23</f>
        <v>407</v>
      </c>
      <c r="D23" s="1608"/>
      <c r="E23" s="1208">
        <f>'Exh D Captl Projects State Fed'!E23+'Exh D Captl Projects State Fed'!O23</f>
        <v>0</v>
      </c>
      <c r="F23" s="1042"/>
      <c r="G23" s="1042">
        <f>+'Exh D Captl Projects State Fed'!G23+'Exh D Captl Projects State Fed'!Q23</f>
        <v>407</v>
      </c>
      <c r="H23" s="1042"/>
      <c r="I23" s="2502">
        <v>0</v>
      </c>
      <c r="J23" s="2502"/>
      <c r="K23" s="2735">
        <f t="shared" si="1"/>
        <v>407</v>
      </c>
      <c r="L23" s="2502"/>
      <c r="M23" s="1544">
        <f t="shared" si="0"/>
        <v>0</v>
      </c>
      <c r="O23" s="1544">
        <v>0</v>
      </c>
    </row>
    <row r="24" spans="1:34">
      <c r="A24" s="1443" t="s">
        <v>21</v>
      </c>
      <c r="B24" s="1589" t="s">
        <v>15</v>
      </c>
      <c r="C24" s="1208">
        <f>'Exh D Captl Projects State Fed'!C24+'Exh D Captl Projects State Fed'!M24</f>
        <v>59</v>
      </c>
      <c r="D24" s="1608"/>
      <c r="E24" s="1208">
        <f>'Exh D Captl Projects State Fed'!E24+'Exh D Captl Projects State Fed'!O24</f>
        <v>0</v>
      </c>
      <c r="F24" s="1042"/>
      <c r="G24" s="1042">
        <f>+'Exh D Captl Projects State Fed'!G24+'Exh D Captl Projects State Fed'!Q24</f>
        <v>58.7</v>
      </c>
      <c r="H24" s="1042"/>
      <c r="I24" s="2502">
        <v>0</v>
      </c>
      <c r="J24" s="2502"/>
      <c r="K24" s="2735">
        <f t="shared" si="1"/>
        <v>58.7</v>
      </c>
      <c r="L24" s="2502"/>
      <c r="M24" s="1544">
        <f t="shared" si="0"/>
        <v>-0.3</v>
      </c>
      <c r="O24" s="1544">
        <v>0</v>
      </c>
    </row>
    <row r="25" spans="1:34">
      <c r="A25" s="1443" t="s">
        <v>99</v>
      </c>
      <c r="B25" s="1589" t="s">
        <v>15</v>
      </c>
      <c r="C25" s="1208">
        <f>'Exh D Captl Projects State Fed'!C25+'Exh D Captl Projects State Fed'!M25</f>
        <v>0</v>
      </c>
      <c r="D25" s="1999"/>
      <c r="E25" s="1208">
        <f>'Exh D Captl Projects State Fed'!E25+'Exh D Captl Projects State Fed'!O25</f>
        <v>0</v>
      </c>
      <c r="F25" s="1042"/>
      <c r="G25" s="1117">
        <f>+'Exh D Captl Projects State Fed'!G25+'Exh D Captl Projects State Fed'!Q25</f>
        <v>0</v>
      </c>
      <c r="H25" s="1042"/>
      <c r="I25" s="2502">
        <v>0</v>
      </c>
      <c r="J25" s="2502"/>
      <c r="K25" s="1117">
        <f t="shared" si="1"/>
        <v>0</v>
      </c>
      <c r="L25" s="2502"/>
      <c r="M25" s="1544">
        <f t="shared" si="0"/>
        <v>0</v>
      </c>
      <c r="O25" s="1544">
        <v>0</v>
      </c>
    </row>
    <row r="26" spans="1:34">
      <c r="A26" s="1443" t="s">
        <v>48</v>
      </c>
      <c r="B26" s="1589" t="s">
        <v>15</v>
      </c>
      <c r="C26" s="1208">
        <f>'Exh D Captl Projects State Fed'!C26+'Exh D Captl Projects State Fed'!M26</f>
        <v>59</v>
      </c>
      <c r="D26" s="1608"/>
      <c r="E26" s="1208">
        <f>'Exh D Captl Projects State Fed'!E26+'Exh D Captl Projects State Fed'!O26</f>
        <v>0</v>
      </c>
      <c r="F26" s="1042"/>
      <c r="G26" s="1188">
        <f>+'Exh D Captl Projects State Fed'!G26+'Exh D Captl Projects State Fed'!Q26</f>
        <v>55.7</v>
      </c>
      <c r="H26" s="1042"/>
      <c r="I26" s="1544">
        <f>'Exhibit I'!AC93</f>
        <v>0</v>
      </c>
      <c r="J26" s="2502"/>
      <c r="K26" s="2735">
        <f t="shared" si="1"/>
        <v>55.7</v>
      </c>
      <c r="L26" s="2502"/>
      <c r="M26" s="1544">
        <f t="shared" si="0"/>
        <v>-3.3</v>
      </c>
      <c r="O26" s="1544">
        <v>0</v>
      </c>
    </row>
    <row r="27" spans="1:34" ht="18" customHeight="1">
      <c r="A27" s="1891" t="s">
        <v>110</v>
      </c>
      <c r="B27" s="341" t="s">
        <v>15</v>
      </c>
      <c r="C27" s="3119">
        <f>ROUND(SUM(C20:C26),1)</f>
        <v>628</v>
      </c>
      <c r="D27" s="2503"/>
      <c r="E27" s="3119">
        <f>ROUND(SUM(E20:E26),1)</f>
        <v>0</v>
      </c>
      <c r="F27" s="1587"/>
      <c r="G27" s="406">
        <f>ROUND(SUM(G20:G26),1)</f>
        <v>633.4</v>
      </c>
      <c r="H27" s="1587"/>
      <c r="I27" s="2521">
        <f>ROUND(SUM(I20:I26),1)</f>
        <v>0</v>
      </c>
      <c r="J27" s="1587"/>
      <c r="K27" s="2521">
        <f>ROUND(SUM(K20:K26),1)</f>
        <v>633.4</v>
      </c>
      <c r="L27" s="1587"/>
      <c r="M27" s="2382">
        <f>ROUND(SUM(M20:M26),1)</f>
        <v>5.4</v>
      </c>
      <c r="O27" s="406">
        <f>ROUND(SUM(O20:O26),1)</f>
        <v>0</v>
      </c>
    </row>
    <row r="28" spans="1:34">
      <c r="A28" s="1212"/>
      <c r="B28" s="1589" t="s">
        <v>15</v>
      </c>
      <c r="C28" s="3117"/>
      <c r="D28" s="1608"/>
      <c r="E28" s="3117"/>
      <c r="F28" s="1042"/>
      <c r="G28" s="1210"/>
      <c r="H28" s="1042"/>
      <c r="I28" s="2502"/>
      <c r="J28" s="2502"/>
      <c r="K28" s="2502"/>
      <c r="L28" s="2502"/>
      <c r="M28" s="1758" t="s">
        <v>15</v>
      </c>
      <c r="O28" s="1210" t="s">
        <v>15</v>
      </c>
    </row>
    <row r="29" spans="1:34" ht="15.75">
      <c r="A29" s="216" t="s">
        <v>23</v>
      </c>
      <c r="B29" s="1589" t="s">
        <v>15</v>
      </c>
      <c r="C29" s="2502"/>
      <c r="D29" s="1608"/>
      <c r="E29" s="2502"/>
      <c r="F29" s="1042"/>
      <c r="G29" s="1042"/>
      <c r="H29" s="1042"/>
      <c r="I29" s="2502"/>
      <c r="J29" s="2502"/>
      <c r="K29" s="2502"/>
      <c r="L29" s="2502"/>
      <c r="M29" s="1544"/>
      <c r="O29" s="1042"/>
    </row>
    <row r="30" spans="1:34">
      <c r="A30" s="1443" t="s">
        <v>95</v>
      </c>
      <c r="B30" s="1589" t="s">
        <v>15</v>
      </c>
      <c r="C30" s="1208">
        <f>'Exh D Captl Projects State Fed'!C30+'Exh D Captl Projects State Fed'!M30</f>
        <v>336</v>
      </c>
      <c r="D30" s="1608"/>
      <c r="E30" s="1208">
        <f>'Exh D Captl Projects State Fed'!E30+'Exh D Captl Projects State Fed'!O30</f>
        <v>0</v>
      </c>
      <c r="F30" s="1042"/>
      <c r="G30" s="1042">
        <f>+'Exh D Captl Projects State Fed'!G30+'Exh D Captl Projects State Fed'!Q30</f>
        <v>336.4</v>
      </c>
      <c r="H30" s="1042"/>
      <c r="I30" s="2502">
        <v>0</v>
      </c>
      <c r="J30" s="2502"/>
      <c r="K30" s="2735">
        <f>+G30+I30</f>
        <v>336.4</v>
      </c>
      <c r="L30" s="2502"/>
      <c r="M30" s="1544">
        <f>ROUND(SUM(K30)-SUM(C30),1)</f>
        <v>0.4</v>
      </c>
      <c r="O30" s="1544">
        <v>0</v>
      </c>
    </row>
    <row r="31" spans="1:34">
      <c r="A31" s="1443" t="s">
        <v>42</v>
      </c>
      <c r="B31" s="1589" t="s">
        <v>15</v>
      </c>
      <c r="C31" s="1208">
        <f>'Exh D Captl Projects State Fed'!C31+'Exh D Captl Projects State Fed'!M31</f>
        <v>361</v>
      </c>
      <c r="D31" s="1999"/>
      <c r="E31" s="1208">
        <f>'Exh D Captl Projects State Fed'!E31+'Exh D Captl Projects State Fed'!O31</f>
        <v>0</v>
      </c>
      <c r="F31" s="1042"/>
      <c r="G31" s="1042">
        <f>+'Exh D Captl Projects State Fed'!G31+'Exh D Captl Projects State Fed'!Q31</f>
        <v>361.2</v>
      </c>
      <c r="H31" s="1042"/>
      <c r="I31" s="2502">
        <v>0</v>
      </c>
      <c r="J31" s="2502"/>
      <c r="K31" s="2735">
        <f>+G31+I31</f>
        <v>361.2</v>
      </c>
      <c r="L31" s="2502"/>
      <c r="M31" s="1544">
        <f>ROUND(SUM(K31)-SUM(C31),1)</f>
        <v>0.2</v>
      </c>
      <c r="O31" s="1544">
        <v>0</v>
      </c>
    </row>
    <row r="32" spans="1:34">
      <c r="A32" s="1443" t="s">
        <v>100</v>
      </c>
      <c r="B32" s="1589" t="s">
        <v>15</v>
      </c>
      <c r="C32" s="1208">
        <f>'Exh D Captl Projects State Fed'!C32+'Exh D Captl Projects State Fed'!M32</f>
        <v>26</v>
      </c>
      <c r="D32" s="1608"/>
      <c r="E32" s="1208">
        <f>'Exh D Captl Projects State Fed'!E32+'Exh D Captl Projects State Fed'!O32</f>
        <v>0</v>
      </c>
      <c r="F32" s="1042"/>
      <c r="G32" s="1042">
        <f>+'Exh D Captl Projects State Fed'!G32+'Exh D Captl Projects State Fed'!Q32</f>
        <v>25.8</v>
      </c>
      <c r="H32" s="1042"/>
      <c r="I32" s="1544">
        <f>-'Exhibit I'!AC94</f>
        <v>0</v>
      </c>
      <c r="J32" s="2502"/>
      <c r="K32" s="2735">
        <f>+G32+I32</f>
        <v>25.8</v>
      </c>
      <c r="L32" s="2502"/>
      <c r="M32" s="1544">
        <f>ROUND(SUM(K32)-SUM(C32),1)</f>
        <v>-0.2</v>
      </c>
      <c r="O32" s="1544">
        <v>0</v>
      </c>
    </row>
    <row r="33" spans="1:34" ht="18" customHeight="1">
      <c r="A33" s="1891" t="s">
        <v>119</v>
      </c>
      <c r="B33" s="341" t="s">
        <v>15</v>
      </c>
      <c r="C33" s="3119">
        <f>ROUND(SUM(C30:C32),1)</f>
        <v>723</v>
      </c>
      <c r="D33" s="2503"/>
      <c r="E33" s="3119">
        <f>ROUND(SUM(E30:E32),1)</f>
        <v>0</v>
      </c>
      <c r="F33" s="1587"/>
      <c r="G33" s="406">
        <f>ROUND(SUM(G30:G32),1)</f>
        <v>723.4</v>
      </c>
      <c r="H33" s="1587"/>
      <c r="I33" s="2521">
        <f>ROUND(SUM(I30:I32),1)</f>
        <v>0</v>
      </c>
      <c r="J33" s="1587"/>
      <c r="K33" s="2521">
        <f>ROUND(SUM(K30:K32),1)</f>
        <v>723.4</v>
      </c>
      <c r="L33" s="1587"/>
      <c r="M33" s="2382">
        <f>ROUND(SUM(M30:M32),1)</f>
        <v>0.4</v>
      </c>
      <c r="O33" s="406">
        <f>ROUND(SUM(O30:O32),1)</f>
        <v>0</v>
      </c>
    </row>
    <row r="34" spans="1:34">
      <c r="A34" s="1212"/>
      <c r="B34" s="1589" t="s">
        <v>15</v>
      </c>
      <c r="C34" s="3117"/>
      <c r="D34" s="1608"/>
      <c r="E34" s="3117"/>
      <c r="F34" s="1042"/>
      <c r="G34" s="1210"/>
      <c r="H34" s="1042"/>
      <c r="I34" s="2502"/>
      <c r="J34" s="2502"/>
      <c r="K34" s="2502"/>
      <c r="L34" s="2502"/>
      <c r="M34" s="1758"/>
      <c r="O34" s="1210"/>
    </row>
    <row r="35" spans="1:34" ht="15.75">
      <c r="A35" s="216" t="s">
        <v>102</v>
      </c>
      <c r="B35" s="1589"/>
      <c r="C35" s="2502"/>
      <c r="D35" s="1608"/>
      <c r="E35" s="2502"/>
      <c r="F35" s="1042"/>
      <c r="G35" s="1042"/>
      <c r="H35" s="1042"/>
      <c r="I35" s="2502"/>
      <c r="J35" s="2502"/>
      <c r="K35" s="2502"/>
      <c r="L35" s="2502"/>
      <c r="M35" s="1544"/>
      <c r="O35" s="1042"/>
    </row>
    <row r="36" spans="1:34" ht="15.75">
      <c r="A36" s="216" t="s">
        <v>103</v>
      </c>
      <c r="B36" s="1589"/>
      <c r="C36" s="2502"/>
      <c r="D36" s="1608"/>
      <c r="E36" s="2502"/>
      <c r="F36" s="1042"/>
      <c r="G36" s="1042"/>
      <c r="H36" s="1042"/>
      <c r="I36" s="2502"/>
      <c r="J36" s="2502"/>
      <c r="K36" s="2502"/>
      <c r="L36" s="2502"/>
      <c r="M36" s="1544"/>
      <c r="O36" s="1042"/>
    </row>
    <row r="37" spans="1:34" ht="15.75">
      <c r="A37" s="1891" t="s">
        <v>104</v>
      </c>
      <c r="B37" s="364" t="s">
        <v>15</v>
      </c>
      <c r="C37" s="2503">
        <f>ROUND(SUM(C27)-SUM(C33),1)</f>
        <v>-95</v>
      </c>
      <c r="D37" s="2503"/>
      <c r="E37" s="2503">
        <f>ROUND(SUM(E27)-SUM(E33),1)</f>
        <v>0</v>
      </c>
      <c r="F37" s="273"/>
      <c r="G37" s="264">
        <f>ROUND(SUM(G27)-SUM(G33),1)</f>
        <v>-90</v>
      </c>
      <c r="H37" s="273"/>
      <c r="I37" s="273">
        <v>0</v>
      </c>
      <c r="J37" s="273"/>
      <c r="K37" s="2503">
        <f>ROUND(SUM(K27)-SUM(K33),1)</f>
        <v>-90</v>
      </c>
      <c r="L37" s="273"/>
      <c r="M37" s="304">
        <f>ROUND(SUM(M27)-SUM(M33),1)</f>
        <v>5</v>
      </c>
      <c r="N37" s="1021"/>
      <c r="O37" s="264">
        <f>ROUND(SUM(O27)-SUM(O33),1)</f>
        <v>0</v>
      </c>
    </row>
    <row r="38" spans="1:34" ht="15.75">
      <c r="B38" s="1021"/>
      <c r="C38" s="1131"/>
      <c r="D38" s="2503"/>
      <c r="E38" s="1131"/>
      <c r="F38" s="1597"/>
      <c r="G38" s="1131"/>
      <c r="H38" s="1597"/>
      <c r="I38" s="1597"/>
      <c r="J38" s="1597"/>
      <c r="K38" s="1131"/>
      <c r="L38" s="1597"/>
      <c r="M38" s="2383"/>
      <c r="O38" s="1131"/>
    </row>
    <row r="39" spans="1:34" ht="15.75">
      <c r="A39" s="1891" t="str">
        <f>+'Exh D-Governmental  '!A49</f>
        <v>Fund Balances (Deficits) at April 1</v>
      </c>
      <c r="B39" s="1599" t="s">
        <v>15</v>
      </c>
      <c r="C39" s="3123">
        <f>'Exh D Captl Projects State Fed'!C39+'Exh D Captl Projects State Fed'!M39</f>
        <v>-1151</v>
      </c>
      <c r="D39" s="2503"/>
      <c r="E39" s="3123">
        <v>0</v>
      </c>
      <c r="F39" s="1597"/>
      <c r="G39" s="264">
        <f>'Exhibit I'!E15</f>
        <v>-1151.1999999999998</v>
      </c>
      <c r="H39" s="1597"/>
      <c r="I39" s="1597">
        <v>0</v>
      </c>
      <c r="J39" s="1597"/>
      <c r="K39" s="3126">
        <f>+G39+I39</f>
        <v>-1151.1999999999998</v>
      </c>
      <c r="L39" s="1597"/>
      <c r="M39" s="2714">
        <f>ROUND(SUM(K39-C39),1)</f>
        <v>-0.2</v>
      </c>
      <c r="N39" s="1021"/>
      <c r="O39" s="2714">
        <v>0</v>
      </c>
      <c r="P39" s="1021"/>
      <c r="Q39" s="1021"/>
      <c r="R39" s="1021"/>
      <c r="S39" s="1021"/>
      <c r="T39" s="1021"/>
      <c r="U39" s="1021"/>
      <c r="V39" s="1021"/>
      <c r="W39" s="1021"/>
      <c r="X39" s="1021"/>
      <c r="Y39" s="1021"/>
      <c r="Z39" s="1021"/>
      <c r="AA39" s="1021"/>
      <c r="AB39" s="1021"/>
      <c r="AC39" s="1021"/>
      <c r="AD39" s="1021"/>
      <c r="AE39" s="1021"/>
      <c r="AF39" s="1021"/>
      <c r="AG39" s="1021"/>
      <c r="AH39" s="1600"/>
    </row>
    <row r="40" spans="1:34" ht="16.5" thickBot="1">
      <c r="A40" s="2244" t="str">
        <f>+'Exh D-Governmental  '!A50</f>
        <v>Fund Balances (Deficits) at April 30, 2018</v>
      </c>
      <c r="B40" s="370" t="s">
        <v>15</v>
      </c>
      <c r="C40" s="287">
        <f>ROUND(SUM(C37:C39),1)</f>
        <v>-1246</v>
      </c>
      <c r="D40" s="410"/>
      <c r="E40" s="287">
        <f>ROUND(SUM(E37:E39),1)</f>
        <v>0</v>
      </c>
      <c r="F40" s="371"/>
      <c r="G40" s="287">
        <f>ROUND(SUM(G37:G39),1)</f>
        <v>-1241.2</v>
      </c>
      <c r="H40" s="371"/>
      <c r="I40" s="287">
        <f>ROUND(SUM(I37:I39),1)</f>
        <v>0</v>
      </c>
      <c r="J40" s="371"/>
      <c r="K40" s="287">
        <f>ROUND(SUM(K37:K39),1)</f>
        <v>-1241.2</v>
      </c>
      <c r="L40" s="371"/>
      <c r="M40" s="2384">
        <f>ROUND(SUM(M37:M39),1)</f>
        <v>4.8</v>
      </c>
      <c r="N40" s="1021"/>
      <c r="O40" s="287">
        <f>ROUND(SUM(O37:O39),1)</f>
        <v>0</v>
      </c>
      <c r="P40" s="1021"/>
      <c r="Q40" s="1021"/>
      <c r="R40" s="1021"/>
      <c r="S40" s="1021"/>
      <c r="T40" s="1021"/>
      <c r="U40" s="1021"/>
      <c r="V40" s="1021"/>
      <c r="W40" s="1021"/>
      <c r="X40" s="1021"/>
      <c r="Y40" s="1021"/>
      <c r="Z40" s="1021"/>
      <c r="AA40" s="1021"/>
      <c r="AB40" s="1021"/>
      <c r="AC40" s="1021"/>
      <c r="AD40" s="1021"/>
      <c r="AE40" s="1021"/>
      <c r="AF40" s="1021"/>
      <c r="AG40" s="1021"/>
      <c r="AH40" s="1600"/>
    </row>
    <row r="41" spans="1:34" ht="15.75" thickTop="1">
      <c r="B41" s="1021"/>
      <c r="C41" s="1021"/>
      <c r="D41" s="1021"/>
      <c r="E41" s="1021"/>
      <c r="G41" s="1623"/>
    </row>
    <row r="42" spans="1:34">
      <c r="A42" s="3500" t="str">
        <f>'Exh D-Governmental  '!A52</f>
        <v>(*)    Source: 2018-19 Enacted Financial Plan dated May 11, 2018.</v>
      </c>
      <c r="B42" s="1021"/>
      <c r="D42" s="1021"/>
    </row>
    <row r="43" spans="1:34">
      <c r="A43" s="2405"/>
      <c r="B43" s="1021"/>
      <c r="D43" s="1021"/>
      <c r="G43" s="1592"/>
      <c r="H43" s="1115"/>
      <c r="I43" s="1115"/>
      <c r="J43" s="1115"/>
      <c r="K43" s="1115"/>
      <c r="L43" s="1115"/>
      <c r="M43" s="2715"/>
      <c r="N43" s="1115"/>
      <c r="O43" s="1624"/>
    </row>
    <row r="44" spans="1:34">
      <c r="A44" s="2405"/>
      <c r="B44" s="1021"/>
      <c r="D44" s="1021"/>
    </row>
    <row r="45" spans="1:34">
      <c r="A45" s="2405"/>
      <c r="B45" s="1021"/>
      <c r="D45" s="1021"/>
    </row>
    <row r="46" spans="1:34">
      <c r="A46" s="1768"/>
      <c r="B46" s="1021"/>
      <c r="D46" s="1021"/>
    </row>
    <row r="47" spans="1:34">
      <c r="A47" s="373"/>
      <c r="B47" s="1021"/>
      <c r="D47" s="1021"/>
    </row>
    <row r="48" spans="1:34">
      <c r="B48" s="1021"/>
      <c r="D48" s="1021"/>
    </row>
    <row r="49" spans="2:2">
      <c r="B49" s="1021"/>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mergeCells count="1">
    <mergeCell ref="A5:E5"/>
  </mergeCells>
  <pageMargins left="0.7" right="0.7" top="0.75" bottom="0.75" header="0.3" footer="0.3"/>
  <pageSetup scale="60" firstPageNumber="13"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80" workbookViewId="0"/>
  </sheetViews>
  <sheetFormatPr defaultColWidth="8.88671875" defaultRowHeight="15"/>
  <cols>
    <col min="1" max="1" width="51.77734375" style="1596" customWidth="1"/>
    <col min="2" max="2" width="2.109375" style="1600" customWidth="1"/>
    <col min="3" max="3" width="15.77734375" style="732" customWidth="1"/>
    <col min="4" max="4" width="1.109375" style="1600" customWidth="1"/>
    <col min="5" max="5" width="15.77734375" style="732" customWidth="1"/>
    <col min="6" max="6" width="1.109375" style="1600" customWidth="1"/>
    <col min="7" max="7" width="15.77734375" style="1600" customWidth="1"/>
    <col min="8" max="8" width="0.6640625" style="1600" customWidth="1"/>
    <col min="9" max="9" width="19.44140625" style="1600" customWidth="1"/>
    <col min="10" max="10" width="1.109375" style="1021" customWidth="1"/>
    <col min="11" max="11" width="19.44140625" style="1600" customWidth="1"/>
    <col min="12" max="12" width="1.33203125" style="1600" customWidth="1"/>
    <col min="13" max="13" width="15.77734375" style="1021" customWidth="1"/>
    <col min="14" max="14" width="1.21875" style="1021" customWidth="1"/>
    <col min="15" max="15" width="15.77734375" style="1021" customWidth="1"/>
    <col min="16" max="16" width="1.21875" style="1021" customWidth="1"/>
    <col min="17" max="17" width="15.77734375" style="1021" customWidth="1"/>
    <col min="18" max="18" width="1.33203125" style="1021" customWidth="1"/>
    <col min="19" max="19" width="15.77734375" style="1021" customWidth="1"/>
    <col min="20" max="20" width="1.88671875" style="1021" customWidth="1"/>
    <col min="21" max="21" width="15.77734375" style="732" customWidth="1"/>
    <col min="22" max="22" width="0.6640625" style="1021" customWidth="1"/>
    <col min="23" max="23" width="15.77734375" style="732" customWidth="1"/>
    <col min="24" max="24" width="1.33203125" style="1021" customWidth="1"/>
    <col min="25" max="25" width="15.77734375" style="1021" customWidth="1"/>
    <col min="26" max="26" width="1" style="1021" customWidth="1"/>
    <col min="27" max="27" width="15.77734375" style="1021" customWidth="1"/>
    <col min="28" max="28" width="3.6640625" style="1600" bestFit="1" customWidth="1"/>
    <col min="29" max="33" width="8.88671875" style="1600"/>
    <col min="34" max="16384" width="8.88671875" style="1596"/>
  </cols>
  <sheetData>
    <row r="1" spans="1:48">
      <c r="A1" s="1602" t="s">
        <v>1064</v>
      </c>
    </row>
    <row r="2" spans="1:48" ht="16.5">
      <c r="A2" s="375"/>
      <c r="B2" s="377"/>
      <c r="C2" s="726"/>
      <c r="D2" s="377"/>
      <c r="E2" s="726"/>
      <c r="F2" s="377"/>
      <c r="G2" s="377"/>
      <c r="H2" s="377"/>
      <c r="I2" s="377"/>
      <c r="J2" s="376"/>
      <c r="K2" s="377"/>
      <c r="L2" s="377"/>
      <c r="M2" s="376"/>
      <c r="N2" s="376"/>
      <c r="O2" s="376"/>
      <c r="P2" s="376"/>
      <c r="Q2" s="376"/>
      <c r="R2" s="376"/>
      <c r="S2" s="376"/>
      <c r="T2" s="376"/>
      <c r="U2" s="1992"/>
      <c r="V2" s="376"/>
      <c r="W2" s="1992"/>
      <c r="X2" s="376"/>
      <c r="Y2" s="376"/>
      <c r="Z2" s="376"/>
      <c r="AA2" s="376"/>
    </row>
    <row r="3" spans="1:48" ht="21" customHeight="1">
      <c r="A3" s="381" t="s">
        <v>0</v>
      </c>
      <c r="B3" s="338"/>
      <c r="C3" s="728"/>
      <c r="D3" s="332"/>
      <c r="E3" s="728"/>
      <c r="F3" s="332"/>
      <c r="G3" s="332"/>
      <c r="H3" s="332"/>
      <c r="I3" s="332"/>
      <c r="J3" s="346"/>
      <c r="K3" s="332"/>
      <c r="L3" s="332"/>
      <c r="M3" s="346"/>
      <c r="N3" s="346"/>
      <c r="O3" s="346"/>
      <c r="P3" s="346"/>
      <c r="Q3" s="346"/>
      <c r="R3" s="346"/>
      <c r="S3" s="1452"/>
      <c r="T3" s="346"/>
      <c r="U3" s="1452" t="s">
        <v>85</v>
      </c>
      <c r="V3" s="346"/>
      <c r="W3" s="1994"/>
      <c r="X3" s="346"/>
      <c r="Y3" s="346"/>
      <c r="Z3" s="346"/>
      <c r="AA3" s="1995"/>
    </row>
    <row r="4" spans="1:48" ht="18">
      <c r="A4" s="381" t="s">
        <v>1315</v>
      </c>
      <c r="B4" s="338"/>
      <c r="C4" s="728"/>
      <c r="D4" s="332"/>
      <c r="E4" s="728"/>
      <c r="F4" s="332"/>
      <c r="G4" s="332"/>
      <c r="H4" s="332"/>
      <c r="I4" s="332"/>
      <c r="J4" s="346"/>
      <c r="K4" s="332"/>
      <c r="L4" s="332"/>
      <c r="M4" s="346"/>
      <c r="N4" s="346"/>
      <c r="O4" s="346"/>
      <c r="P4" s="346"/>
      <c r="Q4" s="346"/>
      <c r="R4" s="346"/>
      <c r="S4" s="1453"/>
      <c r="T4" s="346"/>
      <c r="U4" s="1453"/>
      <c r="V4" s="346"/>
      <c r="W4" s="1994"/>
      <c r="X4" s="346"/>
      <c r="Y4" s="346"/>
      <c r="Z4" s="346"/>
      <c r="AA4" s="1996"/>
    </row>
    <row r="5" spans="1:48" ht="18.95" customHeight="1">
      <c r="A5" s="3741" t="str">
        <f>'Exh D-Governmental  '!A5:E5</f>
        <v>FISCAL YEAR 2018-2019</v>
      </c>
      <c r="B5" s="3742"/>
      <c r="C5" s="3742"/>
      <c r="D5" s="3742"/>
      <c r="E5" s="3742"/>
      <c r="F5" s="332"/>
      <c r="G5" s="332"/>
      <c r="H5" s="332"/>
      <c r="I5" s="332"/>
      <c r="J5" s="346"/>
      <c r="K5" s="332"/>
      <c r="L5" s="332"/>
      <c r="M5" s="346"/>
      <c r="N5" s="346"/>
      <c r="O5" s="346"/>
      <c r="P5" s="346"/>
      <c r="Q5" s="346"/>
      <c r="R5" s="346"/>
      <c r="S5" s="346"/>
      <c r="T5" s="346"/>
      <c r="U5" s="1994"/>
      <c r="V5" s="346"/>
      <c r="W5" s="1994"/>
      <c r="X5" s="346"/>
      <c r="Y5" s="346"/>
      <c r="Z5" s="346"/>
      <c r="AA5" s="346"/>
    </row>
    <row r="6" spans="1:48" ht="18.95" customHeight="1">
      <c r="A6" s="2366" t="str">
        <f>'Exh D-Governmental  '!A6</f>
        <v>FOR ONE MONTH ENDED APRIL 30, 2018</v>
      </c>
      <c r="B6" s="337"/>
      <c r="C6" s="728"/>
      <c r="D6" s="332"/>
      <c r="E6" s="728"/>
      <c r="F6" s="332"/>
      <c r="G6" s="332"/>
      <c r="H6" s="332"/>
      <c r="I6" s="332"/>
      <c r="J6" s="346"/>
      <c r="K6" s="332"/>
      <c r="L6" s="332"/>
      <c r="M6" s="346"/>
      <c r="N6" s="346"/>
      <c r="O6" s="346"/>
      <c r="P6" s="346"/>
      <c r="Q6" s="346"/>
      <c r="R6" s="346"/>
      <c r="S6" s="346"/>
      <c r="T6" s="346"/>
      <c r="U6" s="1994"/>
      <c r="V6" s="346"/>
      <c r="W6" s="1994"/>
      <c r="X6" s="346"/>
      <c r="Y6" s="346"/>
      <c r="Z6" s="346"/>
      <c r="AA6" s="346"/>
      <c r="AB6" s="332"/>
      <c r="AC6" s="346"/>
      <c r="AD6" s="346"/>
      <c r="AE6" s="346"/>
      <c r="AF6" s="346"/>
      <c r="AG6" s="346"/>
      <c r="AH6" s="346"/>
      <c r="AI6" s="346"/>
      <c r="AJ6" s="346"/>
      <c r="AK6" s="346"/>
      <c r="AL6" s="346"/>
      <c r="AM6" s="346"/>
      <c r="AN6" s="346"/>
      <c r="AO6" s="346"/>
      <c r="AP6" s="346"/>
      <c r="AQ6" s="1021"/>
      <c r="AR6" s="1021"/>
      <c r="AS6" s="1021"/>
      <c r="AT6" s="1021"/>
      <c r="AU6" s="1021"/>
      <c r="AV6" s="1600"/>
    </row>
    <row r="7" spans="1:48" ht="18">
      <c r="A7" s="381" t="s">
        <v>958</v>
      </c>
      <c r="B7" s="338"/>
      <c r="C7" s="728"/>
      <c r="D7" s="332"/>
      <c r="E7" s="728"/>
      <c r="F7" s="332"/>
      <c r="G7" s="332"/>
      <c r="H7" s="332"/>
      <c r="I7" s="332"/>
      <c r="J7" s="346"/>
      <c r="K7" s="332"/>
      <c r="L7" s="332"/>
      <c r="M7" s="346"/>
      <c r="N7" s="346"/>
      <c r="O7" s="346"/>
      <c r="P7" s="346"/>
      <c r="Q7" s="346"/>
      <c r="R7" s="346"/>
      <c r="S7" s="346"/>
      <c r="T7" s="346"/>
      <c r="U7" s="1994"/>
      <c r="V7" s="346"/>
      <c r="W7" s="1994"/>
      <c r="X7" s="346"/>
      <c r="Y7" s="346"/>
      <c r="Z7" s="346"/>
      <c r="AA7" s="346"/>
    </row>
    <row r="8" spans="1:48" ht="18">
      <c r="A8" s="383"/>
      <c r="B8" s="338"/>
      <c r="C8" s="728"/>
      <c r="D8" s="332"/>
      <c r="E8" s="728"/>
      <c r="F8" s="332"/>
      <c r="G8" s="332"/>
      <c r="H8" s="332"/>
      <c r="I8" s="332"/>
      <c r="J8" s="346"/>
      <c r="K8" s="332"/>
      <c r="L8" s="332"/>
      <c r="M8" s="346"/>
      <c r="N8" s="346"/>
      <c r="O8" s="346"/>
      <c r="P8" s="346"/>
      <c r="Q8" s="346"/>
      <c r="R8" s="346"/>
      <c r="S8" s="346"/>
      <c r="T8" s="346"/>
      <c r="U8" s="1994"/>
      <c r="V8" s="346"/>
      <c r="W8" s="1994"/>
      <c r="X8" s="346"/>
      <c r="Y8" s="346"/>
      <c r="Z8" s="346"/>
      <c r="AA8" s="346"/>
    </row>
    <row r="9" spans="1:48">
      <c r="A9" s="340"/>
      <c r="B9" s="332"/>
      <c r="C9" s="729"/>
      <c r="D9" s="332"/>
      <c r="E9" s="729"/>
      <c r="F9" s="332"/>
      <c r="G9" s="332"/>
      <c r="H9" s="332"/>
      <c r="I9" s="332"/>
      <c r="J9" s="346"/>
      <c r="K9" s="332"/>
      <c r="L9" s="332"/>
      <c r="M9" s="346"/>
      <c r="N9" s="346"/>
      <c r="O9" s="346"/>
      <c r="P9" s="346"/>
      <c r="Q9" s="346"/>
      <c r="R9" s="346"/>
      <c r="S9" s="346"/>
      <c r="T9" s="346"/>
      <c r="U9" s="1994"/>
      <c r="V9" s="346"/>
      <c r="W9" s="1994"/>
      <c r="X9" s="346"/>
      <c r="Y9" s="346"/>
      <c r="Z9" s="346"/>
      <c r="AA9" s="346"/>
    </row>
    <row r="10" spans="1:48">
      <c r="A10" s="340"/>
      <c r="B10" s="332"/>
      <c r="C10" s="728"/>
      <c r="D10" s="338"/>
      <c r="E10" s="728"/>
      <c r="F10" s="338"/>
      <c r="G10" s="338"/>
      <c r="H10" s="338"/>
      <c r="I10" s="338"/>
      <c r="J10" s="337"/>
      <c r="K10" s="338"/>
      <c r="L10" s="338"/>
      <c r="M10" s="728"/>
      <c r="N10" s="338"/>
      <c r="O10" s="728"/>
      <c r="P10" s="338"/>
      <c r="Q10" s="338"/>
      <c r="R10" s="338"/>
      <c r="S10" s="338"/>
      <c r="T10" s="337"/>
      <c r="U10" s="1664"/>
      <c r="V10" s="337"/>
      <c r="W10" s="1664"/>
      <c r="X10" s="337"/>
      <c r="Y10" s="337"/>
      <c r="Z10" s="337"/>
      <c r="AA10" s="337"/>
      <c r="AB10" s="1616"/>
    </row>
    <row r="11" spans="1:48" ht="15.75">
      <c r="A11" s="1212"/>
      <c r="B11" s="341"/>
      <c r="C11" s="3746" t="s">
        <v>1251</v>
      </c>
      <c r="D11" s="3746"/>
      <c r="E11" s="3746"/>
      <c r="F11" s="3746"/>
      <c r="G11" s="3746"/>
      <c r="H11" s="3746"/>
      <c r="I11" s="3746"/>
      <c r="J11" s="1988"/>
      <c r="K11" s="1988"/>
      <c r="L11" s="395"/>
      <c r="M11" s="3746" t="s">
        <v>1252</v>
      </c>
      <c r="N11" s="3746"/>
      <c r="O11" s="3746"/>
      <c r="P11" s="3746"/>
      <c r="Q11" s="3746"/>
      <c r="R11" s="3746"/>
      <c r="S11" s="3746"/>
      <c r="T11" s="2001"/>
      <c r="U11" s="2301"/>
      <c r="V11" s="2301"/>
      <c r="W11" s="386"/>
      <c r="X11" s="386"/>
      <c r="Y11" s="386"/>
      <c r="Z11" s="386"/>
      <c r="AA11" s="386"/>
      <c r="AB11" s="1616"/>
    </row>
    <row r="12" spans="1:48" ht="15.75">
      <c r="A12" s="1212"/>
      <c r="B12" s="341"/>
      <c r="C12" s="734"/>
      <c r="D12" s="342"/>
      <c r="E12" s="734"/>
      <c r="F12" s="342"/>
      <c r="G12" s="342"/>
      <c r="H12" s="342"/>
      <c r="I12" s="396" t="s">
        <v>86</v>
      </c>
      <c r="J12" s="396"/>
      <c r="K12" s="396" t="s">
        <v>86</v>
      </c>
      <c r="L12" s="1603"/>
      <c r="M12" s="734"/>
      <c r="N12" s="342"/>
      <c r="O12" s="734"/>
      <c r="P12" s="342"/>
      <c r="Q12" s="342"/>
      <c r="R12" s="342"/>
      <c r="S12" s="396" t="s">
        <v>86</v>
      </c>
      <c r="T12" s="341"/>
      <c r="U12" s="396" t="s">
        <v>86</v>
      </c>
      <c r="V12" s="341"/>
      <c r="W12" s="1682"/>
      <c r="X12" s="341"/>
      <c r="Y12" s="341"/>
      <c r="Z12" s="341"/>
      <c r="AA12" s="396"/>
    </row>
    <row r="13" spans="1:48" ht="15.75">
      <c r="A13" s="1212"/>
      <c r="B13" s="341"/>
      <c r="C13" s="734"/>
      <c r="D13" s="342"/>
      <c r="E13" s="734"/>
      <c r="F13" s="342"/>
      <c r="G13" s="342"/>
      <c r="H13" s="342"/>
      <c r="I13" s="343" t="s">
        <v>965</v>
      </c>
      <c r="J13" s="391"/>
      <c r="K13" s="343" t="s">
        <v>965</v>
      </c>
      <c r="L13" s="1603"/>
      <c r="M13" s="734"/>
      <c r="N13" s="342"/>
      <c r="O13" s="734"/>
      <c r="P13" s="342"/>
      <c r="Q13" s="342"/>
      <c r="R13" s="342"/>
      <c r="S13" s="343" t="s">
        <v>965</v>
      </c>
      <c r="T13" s="341"/>
      <c r="U13" s="343" t="s">
        <v>965</v>
      </c>
      <c r="V13" s="341"/>
      <c r="W13" s="1682"/>
      <c r="X13" s="341"/>
      <c r="Y13" s="341"/>
      <c r="Z13" s="341"/>
      <c r="AA13" s="391"/>
    </row>
    <row r="14" spans="1:48" ht="15.75" customHeight="1">
      <c r="A14" s="1212"/>
      <c r="B14" s="341"/>
      <c r="C14" s="344" t="s">
        <v>1190</v>
      </c>
      <c r="D14" s="1596"/>
      <c r="E14" s="344" t="s">
        <v>1191</v>
      </c>
      <c r="F14" s="342"/>
      <c r="G14" s="342"/>
      <c r="H14" s="342"/>
      <c r="I14" s="343" t="s">
        <v>87</v>
      </c>
      <c r="J14" s="391"/>
      <c r="K14" s="343" t="s">
        <v>87</v>
      </c>
      <c r="L14" s="1603"/>
      <c r="M14" s="344" t="s">
        <v>1190</v>
      </c>
      <c r="N14" s="1596"/>
      <c r="O14" s="344" t="s">
        <v>1191</v>
      </c>
      <c r="P14" s="342"/>
      <c r="Q14" s="342"/>
      <c r="R14" s="342"/>
      <c r="S14" s="343" t="s">
        <v>87</v>
      </c>
      <c r="T14" s="392"/>
      <c r="U14" s="343" t="s">
        <v>87</v>
      </c>
      <c r="V14" s="1214"/>
      <c r="W14" s="390"/>
      <c r="X14" s="341"/>
      <c r="Y14" s="341"/>
      <c r="Z14" s="341"/>
      <c r="AA14" s="391"/>
    </row>
    <row r="15" spans="1:48" ht="15.75" customHeight="1">
      <c r="A15" s="1212"/>
      <c r="B15" s="341"/>
      <c r="C15" s="343" t="s">
        <v>1232</v>
      </c>
      <c r="D15" s="342"/>
      <c r="E15" s="343" t="s">
        <v>1232</v>
      </c>
      <c r="F15" s="342"/>
      <c r="G15" s="342"/>
      <c r="H15" s="342"/>
      <c r="I15" s="343" t="s">
        <v>1190</v>
      </c>
      <c r="J15" s="390"/>
      <c r="K15" s="344" t="s">
        <v>1191</v>
      </c>
      <c r="L15" s="1683"/>
      <c r="M15" s="343" t="s">
        <v>1232</v>
      </c>
      <c r="N15" s="342"/>
      <c r="O15" s="343" t="s">
        <v>1232</v>
      </c>
      <c r="P15" s="342"/>
      <c r="Q15" s="342"/>
      <c r="R15" s="342"/>
      <c r="S15" s="343" t="s">
        <v>1190</v>
      </c>
      <c r="T15" s="392"/>
      <c r="U15" s="344" t="s">
        <v>1191</v>
      </c>
      <c r="V15" s="341"/>
      <c r="W15" s="391"/>
      <c r="X15" s="341"/>
      <c r="Y15" s="341"/>
      <c r="Z15" s="341"/>
      <c r="AA15" s="390"/>
    </row>
    <row r="16" spans="1:48" ht="15.75">
      <c r="A16" s="1212"/>
      <c r="B16" s="341"/>
      <c r="C16" s="343" t="s">
        <v>1233</v>
      </c>
      <c r="D16" s="342"/>
      <c r="E16" s="343" t="s">
        <v>1524</v>
      </c>
      <c r="F16" s="342"/>
      <c r="G16" s="344" t="s">
        <v>86</v>
      </c>
      <c r="H16" s="342"/>
      <c r="I16" s="343" t="s">
        <v>88</v>
      </c>
      <c r="J16" s="391"/>
      <c r="K16" s="343" t="s">
        <v>88</v>
      </c>
      <c r="L16" s="1603"/>
      <c r="M16" s="343" t="s">
        <v>1233</v>
      </c>
      <c r="N16" s="342"/>
      <c r="O16" s="343" t="s">
        <v>1488</v>
      </c>
      <c r="P16" s="342"/>
      <c r="Q16" s="344" t="s">
        <v>86</v>
      </c>
      <c r="R16" s="342"/>
      <c r="S16" s="343" t="s">
        <v>88</v>
      </c>
      <c r="T16" s="391"/>
      <c r="U16" s="343" t="s">
        <v>88</v>
      </c>
      <c r="V16" s="341"/>
      <c r="W16" s="391"/>
      <c r="X16" s="341"/>
      <c r="Y16" s="390"/>
      <c r="Z16" s="341"/>
      <c r="AA16" s="391"/>
    </row>
    <row r="17" spans="1:48">
      <c r="A17" s="345"/>
      <c r="B17" s="346"/>
      <c r="C17" s="347"/>
      <c r="D17" s="332"/>
      <c r="E17" s="347"/>
      <c r="F17" s="332"/>
      <c r="G17" s="347"/>
      <c r="H17" s="332"/>
      <c r="I17" s="347"/>
      <c r="J17" s="346"/>
      <c r="K17" s="347"/>
      <c r="L17" s="1604"/>
      <c r="M17" s="347"/>
      <c r="N17" s="332"/>
      <c r="O17" s="347"/>
      <c r="P17" s="332"/>
      <c r="Q17" s="347"/>
      <c r="R17" s="332"/>
      <c r="S17" s="347"/>
      <c r="T17" s="346"/>
      <c r="U17" s="347"/>
      <c r="V17" s="346"/>
      <c r="W17" s="346"/>
      <c r="X17" s="346"/>
      <c r="Y17" s="346"/>
      <c r="Z17" s="346"/>
      <c r="AA17" s="346"/>
    </row>
    <row r="18" spans="1:48" ht="15.75">
      <c r="A18" s="216" t="s">
        <v>14</v>
      </c>
      <c r="B18" s="1589"/>
      <c r="C18" s="1115"/>
      <c r="D18" s="1115"/>
      <c r="E18" s="1115"/>
      <c r="F18" s="1115"/>
      <c r="G18" s="1438" t="s">
        <v>15</v>
      </c>
      <c r="H18" s="1115"/>
      <c r="I18" s="1115"/>
      <c r="J18" s="1589"/>
      <c r="K18" s="1115"/>
      <c r="L18" s="1605"/>
      <c r="M18" s="1115"/>
      <c r="N18" s="1115"/>
      <c r="O18" s="1115"/>
      <c r="P18" s="1115"/>
      <c r="Q18" s="1115" t="s">
        <v>15</v>
      </c>
      <c r="R18" s="1115"/>
      <c r="S18" s="1115"/>
      <c r="T18" s="1589"/>
      <c r="U18" s="1115"/>
      <c r="V18" s="1589"/>
      <c r="W18" s="1589"/>
      <c r="X18" s="1589"/>
      <c r="Y18" s="1589"/>
      <c r="Z18" s="1589"/>
      <c r="AA18" s="1589"/>
    </row>
    <row r="19" spans="1:48">
      <c r="A19" s="1443" t="s">
        <v>89</v>
      </c>
      <c r="B19" s="1590" t="s">
        <v>15</v>
      </c>
      <c r="C19" s="1116"/>
      <c r="D19" s="1118"/>
      <c r="E19" s="1116"/>
      <c r="F19" s="1118"/>
      <c r="G19" s="1116"/>
      <c r="H19" s="1118"/>
      <c r="I19" s="1116"/>
      <c r="J19" s="1671"/>
      <c r="K19" s="1116"/>
      <c r="L19" s="1617"/>
      <c r="M19" s="1116"/>
      <c r="N19" s="1116"/>
      <c r="O19" s="1116"/>
      <c r="P19" s="1116"/>
      <c r="Q19" s="1618"/>
      <c r="R19" s="1118"/>
      <c r="S19" s="1116"/>
      <c r="T19" s="1118"/>
      <c r="U19" s="1116"/>
      <c r="V19" s="1671"/>
      <c r="W19" s="1671"/>
      <c r="X19" s="1671"/>
      <c r="Y19" s="2002"/>
      <c r="Z19" s="1669"/>
      <c r="AA19" s="1671"/>
      <c r="AB19" s="1589"/>
      <c r="AC19" s="1589"/>
      <c r="AD19" s="1589"/>
      <c r="AE19" s="1589"/>
      <c r="AF19" s="1589"/>
      <c r="AG19" s="1589"/>
      <c r="AH19" s="1589"/>
      <c r="AI19" s="1589"/>
      <c r="AJ19" s="1589"/>
      <c r="AK19" s="1589"/>
      <c r="AL19" s="1589"/>
      <c r="AM19" s="1589"/>
      <c r="AN19" s="1589"/>
      <c r="AO19" s="1589"/>
      <c r="AP19" s="1589"/>
      <c r="AQ19" s="1021"/>
      <c r="AR19" s="1021"/>
      <c r="AS19" s="1021"/>
      <c r="AT19" s="1021"/>
      <c r="AU19" s="1021"/>
      <c r="AV19" s="1600"/>
    </row>
    <row r="20" spans="1:48">
      <c r="A20" s="1443" t="s">
        <v>91</v>
      </c>
      <c r="B20" s="1589" t="s">
        <v>15</v>
      </c>
      <c r="C20" s="3386">
        <v>49</v>
      </c>
      <c r="D20" s="1116"/>
      <c r="E20" s="3386">
        <v>0</v>
      </c>
      <c r="F20" s="1116"/>
      <c r="G20" s="1606">
        <f>+'Exhibit I State'!AD22</f>
        <v>44.4</v>
      </c>
      <c r="H20" s="1116"/>
      <c r="I20" s="1116">
        <f t="shared" ref="I20:I26" si="0">ROUND(SUM(G20)-SUM(C20),1)</f>
        <v>-4.5999999999999996</v>
      </c>
      <c r="J20" s="1671"/>
      <c r="K20" s="1116">
        <v>0</v>
      </c>
      <c r="L20" s="1617"/>
      <c r="M20" s="3386">
        <v>0</v>
      </c>
      <c r="N20" s="3386"/>
      <c r="O20" s="3386">
        <v>0</v>
      </c>
      <c r="P20" s="1119"/>
      <c r="Q20" s="1606">
        <v>0</v>
      </c>
      <c r="R20" s="1119"/>
      <c r="S20" s="1116">
        <f t="shared" ref="S20:S26" si="1">ROUND(SUM(Q20)-SUM(M20),1)</f>
        <v>0</v>
      </c>
      <c r="T20" s="1671"/>
      <c r="U20" s="1116">
        <v>0</v>
      </c>
      <c r="V20" s="2003"/>
      <c r="W20" s="1670"/>
      <c r="X20" s="2003"/>
      <c r="Y20" s="1670"/>
      <c r="Z20" s="2003"/>
      <c r="AA20" s="1671"/>
      <c r="AB20" s="1589"/>
      <c r="AC20" s="1589"/>
      <c r="AD20" s="1589"/>
      <c r="AE20" s="1589"/>
      <c r="AF20" s="1589"/>
      <c r="AG20" s="1589"/>
      <c r="AH20" s="1589"/>
      <c r="AI20" s="1589"/>
      <c r="AJ20" s="1589"/>
      <c r="AK20" s="1589"/>
      <c r="AL20" s="1589"/>
      <c r="AM20" s="1589"/>
      <c r="AN20" s="1589"/>
      <c r="AO20" s="1589"/>
      <c r="AP20" s="1589"/>
      <c r="AQ20" s="1021"/>
      <c r="AR20" s="1021"/>
      <c r="AS20" s="1021"/>
      <c r="AT20" s="1021"/>
      <c r="AU20" s="1021"/>
      <c r="AV20" s="1600"/>
    </row>
    <row r="21" spans="1:48">
      <c r="A21" s="1443" t="s">
        <v>92</v>
      </c>
      <c r="B21" s="1590" t="s">
        <v>15</v>
      </c>
      <c r="C21" s="1894">
        <v>54</v>
      </c>
      <c r="D21" s="1188"/>
      <c r="E21" s="1894">
        <v>0</v>
      </c>
      <c r="F21" s="1188"/>
      <c r="G21" s="1208">
        <f>+'Exhibit I State'!AD27</f>
        <v>67.599999999999994</v>
      </c>
      <c r="H21" s="1188"/>
      <c r="I21" s="1042">
        <f t="shared" si="0"/>
        <v>13.6</v>
      </c>
      <c r="J21" s="1608"/>
      <c r="K21" s="2502">
        <v>0</v>
      </c>
      <c r="L21" s="1619"/>
      <c r="M21" s="1894">
        <v>0</v>
      </c>
      <c r="N21" s="1894"/>
      <c r="O21" s="1894">
        <v>0</v>
      </c>
      <c r="P21" s="1117"/>
      <c r="Q21" s="1208">
        <v>0</v>
      </c>
      <c r="R21" s="1117"/>
      <c r="S21" s="1042">
        <f t="shared" si="1"/>
        <v>0</v>
      </c>
      <c r="T21" s="1188"/>
      <c r="U21" s="2502">
        <v>0</v>
      </c>
      <c r="V21" s="1611"/>
      <c r="W21" s="1674"/>
      <c r="X21" s="1611"/>
      <c r="Y21" s="1674"/>
      <c r="Z21" s="1611"/>
      <c r="AA21" s="1608"/>
      <c r="AB21" s="1610"/>
      <c r="AC21" s="1589"/>
      <c r="AD21" s="1589"/>
      <c r="AE21" s="1610"/>
      <c r="AF21" s="1589"/>
      <c r="AG21" s="1610"/>
      <c r="AH21" s="1589"/>
      <c r="AI21" s="1589"/>
      <c r="AJ21" s="1610"/>
      <c r="AK21" s="1589"/>
      <c r="AL21" s="1589"/>
      <c r="AM21" s="1610"/>
      <c r="AN21" s="393"/>
      <c r="AO21" s="1610"/>
      <c r="AP21" s="1589"/>
      <c r="AQ21" s="1021"/>
      <c r="AR21" s="1021"/>
      <c r="AS21" s="1021"/>
      <c r="AT21" s="1021"/>
      <c r="AU21" s="1021"/>
      <c r="AV21" s="1600"/>
    </row>
    <row r="22" spans="1:48">
      <c r="A22" s="1443" t="s">
        <v>93</v>
      </c>
      <c r="B22" s="1589" t="s">
        <v>15</v>
      </c>
      <c r="C22" s="1894">
        <v>0</v>
      </c>
      <c r="D22" s="2502"/>
      <c r="E22" s="1894">
        <v>0</v>
      </c>
      <c r="F22" s="1042"/>
      <c r="G22" s="1208">
        <f>+'Exhibit I State'!AD30</f>
        <v>0</v>
      </c>
      <c r="H22" s="1042"/>
      <c r="I22" s="1042">
        <f t="shared" si="0"/>
        <v>0</v>
      </c>
      <c r="J22" s="1608"/>
      <c r="K22" s="2502">
        <v>0</v>
      </c>
      <c r="L22" s="1619"/>
      <c r="M22" s="1894">
        <v>0</v>
      </c>
      <c r="N22" s="1894"/>
      <c r="O22" s="1894">
        <v>0</v>
      </c>
      <c r="P22" s="1117"/>
      <c r="Q22" s="1208">
        <v>0</v>
      </c>
      <c r="R22" s="1117"/>
      <c r="S22" s="1042">
        <f t="shared" si="1"/>
        <v>0</v>
      </c>
      <c r="T22" s="1608"/>
      <c r="U22" s="2502">
        <v>0</v>
      </c>
      <c r="V22" s="1611"/>
      <c r="W22" s="1674"/>
      <c r="X22" s="1611"/>
      <c r="Y22" s="1674"/>
      <c r="Z22" s="1611"/>
      <c r="AA22" s="1608"/>
      <c r="AB22" s="1589"/>
      <c r="AC22" s="1589"/>
      <c r="AD22" s="1589"/>
      <c r="AE22" s="1589"/>
      <c r="AF22" s="1589"/>
      <c r="AG22" s="1589"/>
      <c r="AH22" s="1589"/>
      <c r="AI22" s="1589"/>
      <c r="AJ22" s="1589"/>
      <c r="AK22" s="1589"/>
      <c r="AL22" s="1589"/>
      <c r="AM22" s="1589"/>
      <c r="AN22" s="1589"/>
      <c r="AO22" s="1589"/>
      <c r="AP22" s="1589"/>
      <c r="AQ22" s="1021"/>
      <c r="AR22" s="1021"/>
      <c r="AS22" s="1021"/>
      <c r="AT22" s="1021"/>
      <c r="AU22" s="1021"/>
      <c r="AV22" s="1600"/>
    </row>
    <row r="23" spans="1:48">
      <c r="A23" s="1443" t="s">
        <v>20</v>
      </c>
      <c r="B23" s="1589" t="s">
        <v>15</v>
      </c>
      <c r="C23" s="1894">
        <v>407</v>
      </c>
      <c r="D23" s="2502"/>
      <c r="E23" s="1894">
        <v>0</v>
      </c>
      <c r="F23" s="1042"/>
      <c r="G23" s="1208">
        <f>+'Exhibit I State'!AD60</f>
        <v>406.9</v>
      </c>
      <c r="H23" s="1042"/>
      <c r="I23" s="1042">
        <f t="shared" si="0"/>
        <v>-0.1</v>
      </c>
      <c r="J23" s="1608"/>
      <c r="K23" s="2502">
        <v>0</v>
      </c>
      <c r="L23" s="1619"/>
      <c r="M23" s="1894">
        <v>0</v>
      </c>
      <c r="N23" s="2502"/>
      <c r="O23" s="1894">
        <v>0</v>
      </c>
      <c r="P23" s="1042"/>
      <c r="Q23" s="1042">
        <f>+'Exhibit I Federal'!AD42</f>
        <v>0.1</v>
      </c>
      <c r="R23" s="1042"/>
      <c r="S23" s="1042">
        <f t="shared" si="1"/>
        <v>0.1</v>
      </c>
      <c r="T23" s="1608"/>
      <c r="U23" s="2502">
        <v>0</v>
      </c>
      <c r="V23" s="1608"/>
      <c r="W23" s="1674"/>
      <c r="X23" s="1608"/>
      <c r="Y23" s="1674"/>
      <c r="Z23" s="1608"/>
      <c r="AA23" s="1608"/>
    </row>
    <row r="24" spans="1:48">
      <c r="A24" s="1443" t="s">
        <v>21</v>
      </c>
      <c r="B24" s="1589" t="s">
        <v>15</v>
      </c>
      <c r="C24" s="1894">
        <v>0</v>
      </c>
      <c r="D24" s="2502"/>
      <c r="E24" s="1894">
        <v>0</v>
      </c>
      <c r="F24" s="1042"/>
      <c r="G24" s="1208">
        <f>+'Exhibit I State'!AD62</f>
        <v>0</v>
      </c>
      <c r="H24" s="1042"/>
      <c r="I24" s="1042">
        <f t="shared" si="0"/>
        <v>0</v>
      </c>
      <c r="J24" s="1608"/>
      <c r="K24" s="2502">
        <v>0</v>
      </c>
      <c r="L24" s="1619"/>
      <c r="M24" s="1894">
        <v>59</v>
      </c>
      <c r="N24" s="2502"/>
      <c r="O24" s="1894">
        <v>0</v>
      </c>
      <c r="P24" s="1042"/>
      <c r="Q24" s="1042">
        <f>+'Exhibit I Federal'!AD44</f>
        <v>58.7</v>
      </c>
      <c r="R24" s="1042"/>
      <c r="S24" s="1042">
        <f t="shared" si="1"/>
        <v>-0.3</v>
      </c>
      <c r="T24" s="1608"/>
      <c r="U24" s="2502">
        <v>0</v>
      </c>
      <c r="V24" s="1608"/>
      <c r="W24" s="1674"/>
      <c r="X24" s="1608"/>
      <c r="Y24" s="1674"/>
      <c r="Z24" s="1608"/>
      <c r="AA24" s="1608"/>
    </row>
    <row r="25" spans="1:48">
      <c r="A25" s="1443" t="s">
        <v>99</v>
      </c>
      <c r="B25" s="1589" t="s">
        <v>15</v>
      </c>
      <c r="C25" s="1894">
        <v>0</v>
      </c>
      <c r="D25" s="2502"/>
      <c r="E25" s="1894">
        <v>0</v>
      </c>
      <c r="F25" s="1042"/>
      <c r="G25" s="1117">
        <f>+'Exhibit I State'!AA91</f>
        <v>0</v>
      </c>
      <c r="H25" s="1042"/>
      <c r="I25" s="1042">
        <f t="shared" si="0"/>
        <v>0</v>
      </c>
      <c r="J25" s="1608"/>
      <c r="K25" s="2502">
        <v>0</v>
      </c>
      <c r="L25" s="1620"/>
      <c r="M25" s="1894">
        <v>0</v>
      </c>
      <c r="N25" s="1544"/>
      <c r="O25" s="1894">
        <v>0</v>
      </c>
      <c r="P25" s="1042"/>
      <c r="Q25" s="1117">
        <v>0</v>
      </c>
      <c r="R25" s="1042"/>
      <c r="S25" s="1042">
        <f t="shared" si="1"/>
        <v>0</v>
      </c>
      <c r="T25" s="1609"/>
      <c r="U25" s="2502">
        <v>0</v>
      </c>
      <c r="V25" s="1608"/>
      <c r="W25" s="1674"/>
      <c r="X25" s="1608"/>
      <c r="Y25" s="1674"/>
      <c r="Z25" s="1608"/>
      <c r="AA25" s="1608"/>
    </row>
    <row r="26" spans="1:48">
      <c r="A26" s="1443" t="s">
        <v>48</v>
      </c>
      <c r="B26" s="1589" t="s">
        <v>15</v>
      </c>
      <c r="C26" s="1894">
        <v>59</v>
      </c>
      <c r="D26" s="2502"/>
      <c r="E26" s="1894">
        <v>0</v>
      </c>
      <c r="F26" s="1042"/>
      <c r="G26" s="1206">
        <f>+'Exhibit I State'!AD92</f>
        <v>55.7</v>
      </c>
      <c r="H26" s="1042"/>
      <c r="I26" s="1042">
        <f t="shared" si="0"/>
        <v>-3.3</v>
      </c>
      <c r="J26" s="1608"/>
      <c r="K26" s="2502">
        <v>0</v>
      </c>
      <c r="L26" s="1619"/>
      <c r="M26" s="1894">
        <v>0</v>
      </c>
      <c r="N26" s="1544"/>
      <c r="O26" s="1894">
        <v>0</v>
      </c>
      <c r="P26" s="1042"/>
      <c r="Q26" s="1188">
        <f>+'Exhibit I Federal'!I73</f>
        <v>0</v>
      </c>
      <c r="R26" s="1042"/>
      <c r="S26" s="1042">
        <f t="shared" si="1"/>
        <v>0</v>
      </c>
      <c r="T26" s="1609"/>
      <c r="U26" s="2502">
        <f t="shared" ref="U26" si="2">ROUND(SUM(Q26)-SUM(O26),1)</f>
        <v>0</v>
      </c>
      <c r="V26" s="1608"/>
      <c r="W26" s="1674"/>
      <c r="X26" s="1608"/>
      <c r="Y26" s="1674"/>
      <c r="Z26" s="1608"/>
      <c r="AA26" s="1608"/>
    </row>
    <row r="27" spans="1:48" ht="18" customHeight="1">
      <c r="A27" s="363" t="s">
        <v>110</v>
      </c>
      <c r="B27" s="341" t="s">
        <v>15</v>
      </c>
      <c r="C27" s="3120">
        <f>ROUND(SUM(C20:C26),1)</f>
        <v>569</v>
      </c>
      <c r="D27" s="1587"/>
      <c r="E27" s="3120">
        <f>ROUND(SUM(E20:E26),1)</f>
        <v>0</v>
      </c>
      <c r="F27" s="1587"/>
      <c r="G27" s="406">
        <f>ROUND(SUM(G20:G26),1)</f>
        <v>574.6</v>
      </c>
      <c r="H27" s="1587"/>
      <c r="I27" s="406">
        <f>ROUND(SUM(I20:I26),1)</f>
        <v>5.6</v>
      </c>
      <c r="J27" s="264"/>
      <c r="K27" s="406">
        <f>ROUND(SUM(K20:K26),1)</f>
        <v>0</v>
      </c>
      <c r="L27" s="1621"/>
      <c r="M27" s="3120">
        <f>ROUND(SUM(M20:M26),1)</f>
        <v>59</v>
      </c>
      <c r="N27" s="1587"/>
      <c r="O27" s="3120">
        <f>ROUND(SUM(O20:O26),1)</f>
        <v>0</v>
      </c>
      <c r="P27" s="1587"/>
      <c r="Q27" s="406">
        <f>ROUND(SUM(Q20:Q26),1)</f>
        <v>58.8</v>
      </c>
      <c r="R27" s="1587"/>
      <c r="S27" s="406">
        <f>ROUND(SUM(S20:S26),1)</f>
        <v>-0.2</v>
      </c>
      <c r="T27" s="264"/>
      <c r="U27" s="406">
        <f>ROUND(SUM(U20:U26),1)</f>
        <v>0</v>
      </c>
      <c r="V27" s="264"/>
      <c r="W27" s="264"/>
      <c r="X27" s="264"/>
      <c r="Y27" s="264"/>
      <c r="Z27" s="264"/>
      <c r="AA27" s="264"/>
    </row>
    <row r="28" spans="1:48">
      <c r="A28" s="1212"/>
      <c r="B28" s="1589" t="s">
        <v>15</v>
      </c>
      <c r="C28" s="3121"/>
      <c r="D28" s="2502"/>
      <c r="E28" s="3121"/>
      <c r="F28" s="1042"/>
      <c r="G28" s="1210"/>
      <c r="H28" s="1042"/>
      <c r="I28" s="1210"/>
      <c r="J28" s="1608"/>
      <c r="K28" s="1210"/>
      <c r="L28" s="1619"/>
      <c r="M28" s="3121"/>
      <c r="N28" s="2502"/>
      <c r="O28" s="3121"/>
      <c r="P28" s="1042"/>
      <c r="Q28" s="1210"/>
      <c r="R28" s="1042"/>
      <c r="S28" s="1210" t="s">
        <v>15</v>
      </c>
      <c r="T28" s="1608"/>
      <c r="U28" s="1210"/>
      <c r="V28" s="1608"/>
      <c r="W28" s="1608"/>
      <c r="X28" s="1608"/>
      <c r="Y28" s="1608"/>
      <c r="Z28" s="1608"/>
      <c r="AA28" s="1608"/>
    </row>
    <row r="29" spans="1:48" ht="15.75">
      <c r="A29" s="216" t="s">
        <v>23</v>
      </c>
      <c r="B29" s="1589" t="s">
        <v>15</v>
      </c>
      <c r="C29" s="1544"/>
      <c r="D29" s="2502"/>
      <c r="E29" s="1544"/>
      <c r="F29" s="1042"/>
      <c r="G29" s="1042" t="s">
        <v>15</v>
      </c>
      <c r="H29" s="1042"/>
      <c r="I29" s="1042"/>
      <c r="J29" s="1608"/>
      <c r="K29" s="2502"/>
      <c r="L29" s="1619"/>
      <c r="M29" s="1544"/>
      <c r="N29" s="2502"/>
      <c r="O29" s="1544"/>
      <c r="P29" s="1042"/>
      <c r="Q29" s="1042"/>
      <c r="R29" s="1042"/>
      <c r="S29" s="1042"/>
      <c r="T29" s="1608"/>
      <c r="U29" s="2502"/>
      <c r="V29" s="1608"/>
      <c r="W29" s="1608"/>
      <c r="X29" s="1608"/>
      <c r="Y29" s="1608"/>
      <c r="Z29" s="1608"/>
      <c r="AA29" s="1608"/>
    </row>
    <row r="30" spans="1:48">
      <c r="A30" s="1443" t="s">
        <v>95</v>
      </c>
      <c r="B30" s="1589" t="s">
        <v>15</v>
      </c>
      <c r="C30" s="1894">
        <v>285</v>
      </c>
      <c r="D30" s="2502"/>
      <c r="E30" s="1894">
        <v>0</v>
      </c>
      <c r="F30" s="1042"/>
      <c r="G30" s="1117">
        <f>+'Exhibit I State'!AD78</f>
        <v>285</v>
      </c>
      <c r="H30" s="1042"/>
      <c r="I30" s="1042">
        <f>ROUND(SUM(G30)-SUM(C30),1)</f>
        <v>0</v>
      </c>
      <c r="J30" s="1608"/>
      <c r="K30" s="2502">
        <v>0</v>
      </c>
      <c r="L30" s="1619"/>
      <c r="M30" s="1894">
        <v>51</v>
      </c>
      <c r="N30" s="2502"/>
      <c r="O30" s="1894">
        <v>0</v>
      </c>
      <c r="P30" s="1042"/>
      <c r="Q30" s="1042">
        <f>+'Exhibit I Federal'!AD60</f>
        <v>51.4</v>
      </c>
      <c r="R30" s="1042"/>
      <c r="S30" s="1042">
        <f>ROUND(SUM(Q30)-SUM(M30),1)</f>
        <v>0.4</v>
      </c>
      <c r="T30" s="1608"/>
      <c r="U30" s="2502">
        <v>0</v>
      </c>
      <c r="V30" s="1608"/>
      <c r="W30" s="1674"/>
      <c r="X30" s="1608"/>
      <c r="Y30" s="1674"/>
      <c r="Z30" s="1608"/>
      <c r="AA30" s="1608"/>
    </row>
    <row r="31" spans="1:48">
      <c r="A31" s="1443" t="s">
        <v>42</v>
      </c>
      <c r="B31" s="1589" t="s">
        <v>15</v>
      </c>
      <c r="C31" s="1894">
        <v>304</v>
      </c>
      <c r="D31" s="2502"/>
      <c r="E31" s="1894">
        <v>0</v>
      </c>
      <c r="F31" s="1042"/>
      <c r="G31" s="1117">
        <f>+'Exhibit I State'!AD83</f>
        <v>304.89999999999998</v>
      </c>
      <c r="H31" s="1042"/>
      <c r="I31" s="1042">
        <f>ROUND(SUM(G31)-SUM(C31),1)</f>
        <v>0.9</v>
      </c>
      <c r="J31" s="1608"/>
      <c r="K31" s="2502">
        <v>0</v>
      </c>
      <c r="L31" s="1620"/>
      <c r="M31" s="1894">
        <v>57</v>
      </c>
      <c r="N31" s="2502"/>
      <c r="O31" s="1894">
        <v>0</v>
      </c>
      <c r="P31" s="1042"/>
      <c r="Q31" s="1042">
        <f>+'Exhibit I Federal'!AD65</f>
        <v>56.3</v>
      </c>
      <c r="R31" s="1042"/>
      <c r="S31" s="1042">
        <f>ROUND(SUM(Q31)-SUM(M31),1)</f>
        <v>-0.7</v>
      </c>
      <c r="T31" s="1608"/>
      <c r="U31" s="2502">
        <v>0</v>
      </c>
      <c r="V31" s="1608"/>
      <c r="W31" s="1674"/>
      <c r="X31" s="1608"/>
      <c r="Y31" s="1674"/>
      <c r="Z31" s="1608"/>
      <c r="AA31" s="1608"/>
    </row>
    <row r="32" spans="1:48">
      <c r="A32" s="1443" t="s">
        <v>100</v>
      </c>
      <c r="B32" s="1589" t="s">
        <v>15</v>
      </c>
      <c r="C32" s="1894">
        <v>26</v>
      </c>
      <c r="D32" s="2502"/>
      <c r="E32" s="1894">
        <v>0</v>
      </c>
      <c r="F32" s="1042"/>
      <c r="G32" s="1188">
        <f>-'Exhibit I State'!AD93</f>
        <v>25.8</v>
      </c>
      <c r="H32" s="1042"/>
      <c r="I32" s="1042">
        <f>ROUND(SUM(G32)-SUM(C32),1)</f>
        <v>-0.2</v>
      </c>
      <c r="J32" s="1608"/>
      <c r="K32" s="2502">
        <v>0</v>
      </c>
      <c r="L32" s="1619"/>
      <c r="M32" s="1894">
        <v>0</v>
      </c>
      <c r="N32" s="2502"/>
      <c r="O32" s="1894">
        <v>0</v>
      </c>
      <c r="P32" s="1042"/>
      <c r="Q32" s="1188">
        <f>-'Exhibit I Federal'!AD74</f>
        <v>0</v>
      </c>
      <c r="R32" s="1042"/>
      <c r="S32" s="1042">
        <f>ROUND(SUM(Q32)-SUM(M32),1)</f>
        <v>0</v>
      </c>
      <c r="T32" s="1609"/>
      <c r="U32" s="2502">
        <v>0</v>
      </c>
      <c r="V32" s="1608"/>
      <c r="W32" s="1674"/>
      <c r="X32" s="1608"/>
      <c r="Y32" s="1674"/>
      <c r="Z32" s="1608"/>
      <c r="AA32" s="1608"/>
    </row>
    <row r="33" spans="1:48" ht="18" customHeight="1">
      <c r="A33" s="363" t="s">
        <v>119</v>
      </c>
      <c r="B33" s="341" t="s">
        <v>15</v>
      </c>
      <c r="C33" s="3120">
        <f>ROUND(SUM(C30:C32),1)</f>
        <v>615</v>
      </c>
      <c r="D33" s="1587"/>
      <c r="E33" s="3120">
        <f>ROUND(SUM(E30:E32),1)</f>
        <v>0</v>
      </c>
      <c r="F33" s="1587"/>
      <c r="G33" s="406">
        <f>ROUND(SUM(G30:G32),1)</f>
        <v>615.70000000000005</v>
      </c>
      <c r="H33" s="1587"/>
      <c r="I33" s="406">
        <f>ROUND(SUM(I30:I32),1)</f>
        <v>0.7</v>
      </c>
      <c r="J33" s="264"/>
      <c r="K33" s="406">
        <f>ROUND(SUM(K30:K32),1)</f>
        <v>0</v>
      </c>
      <c r="L33" s="1621"/>
      <c r="M33" s="3119">
        <f>ROUND(SUM(M30:M32),1)</f>
        <v>108</v>
      </c>
      <c r="N33" s="1587"/>
      <c r="O33" s="3120">
        <f>ROUND(SUM(O30:O32),1)</f>
        <v>0</v>
      </c>
      <c r="P33" s="1587"/>
      <c r="Q33" s="406">
        <f>ROUND(SUM(Q30:Q32),1)</f>
        <v>107.7</v>
      </c>
      <c r="R33" s="1587"/>
      <c r="S33" s="406">
        <f>ROUND(SUM(S30:S32),1)</f>
        <v>-0.3</v>
      </c>
      <c r="T33" s="264"/>
      <c r="U33" s="406">
        <f>ROUND(SUM(U30:U32),1)</f>
        <v>0</v>
      </c>
      <c r="V33" s="264"/>
      <c r="W33" s="264"/>
      <c r="X33" s="264"/>
      <c r="Y33" s="264"/>
      <c r="Z33" s="264"/>
      <c r="AA33" s="264"/>
    </row>
    <row r="34" spans="1:48">
      <c r="A34" s="1212"/>
      <c r="B34" s="1589" t="s">
        <v>15</v>
      </c>
      <c r="C34" s="3121"/>
      <c r="D34" s="2502"/>
      <c r="E34" s="3121"/>
      <c r="F34" s="1042"/>
      <c r="G34" s="1210"/>
      <c r="H34" s="1042"/>
      <c r="I34" s="1210"/>
      <c r="J34" s="1608"/>
      <c r="K34" s="1210"/>
      <c r="L34" s="1619"/>
      <c r="M34" s="3117"/>
      <c r="N34" s="2502"/>
      <c r="O34" s="3121"/>
      <c r="P34" s="1042"/>
      <c r="Q34" s="1210"/>
      <c r="R34" s="1042"/>
      <c r="S34" s="1210"/>
      <c r="T34" s="1608"/>
      <c r="U34" s="1210"/>
      <c r="V34" s="1608"/>
      <c r="W34" s="1608"/>
      <c r="X34" s="1608"/>
      <c r="Y34" s="1608"/>
      <c r="Z34" s="1608"/>
      <c r="AA34" s="1608"/>
    </row>
    <row r="35" spans="1:48" ht="15.75">
      <c r="A35" s="216" t="s">
        <v>102</v>
      </c>
      <c r="B35" s="1589"/>
      <c r="C35" s="1544"/>
      <c r="D35" s="2502"/>
      <c r="E35" s="1544"/>
      <c r="F35" s="1042"/>
      <c r="G35" s="1042"/>
      <c r="H35" s="1042"/>
      <c r="I35" s="1042"/>
      <c r="J35" s="1608"/>
      <c r="K35" s="2502"/>
      <c r="L35" s="1619"/>
      <c r="M35" s="2502"/>
      <c r="N35" s="2502"/>
      <c r="O35" s="1544"/>
      <c r="P35" s="1042"/>
      <c r="Q35" s="1042"/>
      <c r="R35" s="1042"/>
      <c r="S35" s="1042"/>
      <c r="T35" s="1608"/>
      <c r="U35" s="2502"/>
      <c r="V35" s="1608"/>
      <c r="W35" s="1608"/>
      <c r="X35" s="1608"/>
      <c r="Y35" s="1608"/>
      <c r="Z35" s="1608"/>
      <c r="AA35" s="1608"/>
    </row>
    <row r="36" spans="1:48" ht="15.75">
      <c r="A36" s="216" t="s">
        <v>103</v>
      </c>
      <c r="B36" s="1589"/>
      <c r="C36" s="1544"/>
      <c r="D36" s="2502"/>
      <c r="E36" s="1544"/>
      <c r="F36" s="1042"/>
      <c r="G36" s="1042"/>
      <c r="H36" s="1042"/>
      <c r="I36" s="1042"/>
      <c r="J36" s="1608"/>
      <c r="K36" s="2502"/>
      <c r="L36" s="1619"/>
      <c r="M36" s="2502"/>
      <c r="N36" s="2502"/>
      <c r="O36" s="1544"/>
      <c r="P36" s="1042"/>
      <c r="Q36" s="1042"/>
      <c r="R36" s="1042"/>
      <c r="S36" s="1042"/>
      <c r="T36" s="1608"/>
      <c r="U36" s="2502"/>
      <c r="V36" s="1608"/>
      <c r="W36" s="1608"/>
      <c r="X36" s="1608"/>
      <c r="Y36" s="1608"/>
      <c r="Z36" s="1608"/>
      <c r="AA36" s="1608"/>
    </row>
    <row r="37" spans="1:48" ht="15.75">
      <c r="A37" s="363" t="s">
        <v>104</v>
      </c>
      <c r="B37" s="364" t="s">
        <v>15</v>
      </c>
      <c r="C37" s="304">
        <f>ROUND(SUM(C27)-SUM(C33),1)</f>
        <v>-46</v>
      </c>
      <c r="D37" s="273"/>
      <c r="E37" s="304">
        <f>ROUND(SUM(E27)-SUM(E33),1)</f>
        <v>0</v>
      </c>
      <c r="F37" s="273"/>
      <c r="G37" s="264">
        <f>ROUND(SUM(G27)-SUM(G33),1)</f>
        <v>-41.1</v>
      </c>
      <c r="H37" s="273"/>
      <c r="I37" s="264">
        <f>ROUND(SUM(I27)-SUM(I33),1)</f>
        <v>4.9000000000000004</v>
      </c>
      <c r="J37" s="264"/>
      <c r="K37" s="2503">
        <f>ROUND(SUM(K27)-SUM(K33),1)</f>
        <v>0</v>
      </c>
      <c r="L37" s="1621"/>
      <c r="M37" s="2503">
        <f>ROUND(SUM(M27)-SUM(M33),1)</f>
        <v>-49</v>
      </c>
      <c r="N37" s="273"/>
      <c r="O37" s="304">
        <f>ROUND(SUM(O27)-SUM(O33),1)</f>
        <v>0</v>
      </c>
      <c r="P37" s="273"/>
      <c r="Q37" s="264">
        <f>ROUND(SUM(Q27)-SUM(Q33),1)</f>
        <v>-48.9</v>
      </c>
      <c r="R37" s="273"/>
      <c r="S37" s="264">
        <f>ROUND(SUM(S27)-SUM(S33),1)</f>
        <v>0.1</v>
      </c>
      <c r="T37" s="273"/>
      <c r="U37" s="2503">
        <v>0</v>
      </c>
      <c r="V37" s="692"/>
      <c r="W37" s="264"/>
      <c r="X37" s="692"/>
      <c r="Y37" s="264"/>
      <c r="Z37" s="692"/>
      <c r="AA37" s="264"/>
      <c r="AB37" s="1021"/>
    </row>
    <row r="38" spans="1:48" ht="15.75">
      <c r="B38" s="1021"/>
      <c r="C38" s="2383"/>
      <c r="D38" s="1597"/>
      <c r="E38" s="2383"/>
      <c r="F38" s="1597"/>
      <c r="G38" s="1131"/>
      <c r="H38" s="1597"/>
      <c r="I38" s="1131"/>
      <c r="J38" s="1131"/>
      <c r="K38" s="1131"/>
      <c r="L38" s="1621"/>
      <c r="M38" s="1131"/>
      <c r="N38" s="1597"/>
      <c r="O38" s="2383"/>
      <c r="P38" s="1597"/>
      <c r="Q38" s="1131"/>
      <c r="R38" s="1597"/>
      <c r="S38" s="1131"/>
      <c r="T38" s="1131"/>
      <c r="U38" s="1131"/>
      <c r="V38" s="1131"/>
      <c r="W38" s="1131"/>
      <c r="X38" s="1131"/>
      <c r="Y38" s="1131"/>
      <c r="Z38" s="1131"/>
      <c r="AA38" s="1131"/>
    </row>
    <row r="39" spans="1:48" ht="15.75">
      <c r="A39" s="363" t="s">
        <v>105</v>
      </c>
      <c r="B39" s="1599" t="s">
        <v>15</v>
      </c>
      <c r="C39" s="304">
        <f>ROUND('Exhibit I State'!E14,0)</f>
        <v>-568</v>
      </c>
      <c r="D39" s="2748"/>
      <c r="E39" s="304">
        <v>0</v>
      </c>
      <c r="F39" s="1597"/>
      <c r="G39" s="304">
        <f>'Exhibit I State'!E14</f>
        <v>-568.4</v>
      </c>
      <c r="H39" s="1597"/>
      <c r="I39" s="270">
        <f>ROUND(SUM(G39-C39),1)</f>
        <v>-0.4</v>
      </c>
      <c r="J39" s="270"/>
      <c r="K39" s="270">
        <v>0</v>
      </c>
      <c r="L39" s="1621"/>
      <c r="M39" s="304">
        <v>-583</v>
      </c>
      <c r="N39" s="2748"/>
      <c r="O39" s="304">
        <v>0</v>
      </c>
      <c r="P39" s="1597"/>
      <c r="Q39" s="304">
        <f>'Exhibit I Federal'!E14</f>
        <v>-582.79999999999995</v>
      </c>
      <c r="R39" s="1597"/>
      <c r="S39" s="270">
        <f>ROUND(SUM(Q39-M39),1)</f>
        <v>0.2</v>
      </c>
      <c r="T39" s="1131"/>
      <c r="U39" s="270">
        <v>0</v>
      </c>
      <c r="V39" s="1131"/>
      <c r="W39" s="264"/>
      <c r="X39" s="1131"/>
      <c r="Y39" s="264"/>
      <c r="Z39" s="1131"/>
      <c r="AA39" s="270"/>
      <c r="AB39" s="1021"/>
      <c r="AC39" s="1021"/>
      <c r="AD39" s="1021"/>
      <c r="AE39" s="1021"/>
      <c r="AF39" s="1021"/>
      <c r="AG39" s="1021"/>
      <c r="AH39" s="1021"/>
      <c r="AI39" s="1021"/>
      <c r="AJ39" s="1021"/>
      <c r="AK39" s="1021"/>
      <c r="AL39" s="1021"/>
      <c r="AM39" s="1021"/>
      <c r="AN39" s="1021"/>
      <c r="AO39" s="1021"/>
      <c r="AP39" s="1021"/>
      <c r="AQ39" s="1021"/>
      <c r="AR39" s="1021"/>
      <c r="AS39" s="1021"/>
      <c r="AT39" s="1021"/>
      <c r="AU39" s="1021"/>
      <c r="AV39" s="1600"/>
    </row>
    <row r="40" spans="1:48" ht="16.5" thickBot="1">
      <c r="A40" s="2245" t="str">
        <f>+'Exh D-Governmental  '!A50</f>
        <v>Fund Balances (Deficits) at April 30, 2018</v>
      </c>
      <c r="B40" s="370" t="s">
        <v>15</v>
      </c>
      <c r="C40" s="287">
        <f>ROUND(SUM(C37:C39),1)</f>
        <v>-614</v>
      </c>
      <c r="D40" s="371"/>
      <c r="E40" s="287">
        <f>ROUND(SUM(E37:E39),1)</f>
        <v>0</v>
      </c>
      <c r="F40" s="371"/>
      <c r="G40" s="287">
        <f>ROUND(SUM(G37:G39),1)</f>
        <v>-609.5</v>
      </c>
      <c r="H40" s="371"/>
      <c r="I40" s="287">
        <f>ROUND(SUM(I37:I39),1)</f>
        <v>4.5</v>
      </c>
      <c r="J40" s="410"/>
      <c r="K40" s="287">
        <f>ROUND(SUM(K37:K39),1)</f>
        <v>0</v>
      </c>
      <c r="L40" s="1622"/>
      <c r="M40" s="287">
        <f>ROUND(SUM(M37:M39),1)</f>
        <v>-632</v>
      </c>
      <c r="N40" s="371"/>
      <c r="O40" s="287">
        <f>ROUND(SUM(O37:O39),1)</f>
        <v>0</v>
      </c>
      <c r="P40" s="371"/>
      <c r="Q40" s="287">
        <f>ROUND(SUM(Q37:Q39),1)</f>
        <v>-631.70000000000005</v>
      </c>
      <c r="R40" s="371"/>
      <c r="S40" s="287">
        <f>ROUND(SUM(S37:S39),1)</f>
        <v>0.3</v>
      </c>
      <c r="T40" s="371"/>
      <c r="U40" s="287">
        <f>ROUND(SUM(U37:U39),1)</f>
        <v>0</v>
      </c>
      <c r="V40" s="1675"/>
      <c r="W40" s="410"/>
      <c r="X40" s="1675"/>
      <c r="Y40" s="410"/>
      <c r="Z40" s="1675"/>
      <c r="AA40" s="410"/>
      <c r="AB40" s="1021"/>
      <c r="AC40" s="1021"/>
      <c r="AD40" s="1021"/>
      <c r="AE40" s="1021"/>
      <c r="AF40" s="1021"/>
      <c r="AG40" s="1021"/>
      <c r="AH40" s="1021"/>
      <c r="AI40" s="1021"/>
      <c r="AJ40" s="1021"/>
      <c r="AK40" s="1021"/>
      <c r="AL40" s="1021"/>
      <c r="AM40" s="1021"/>
      <c r="AN40" s="1021"/>
      <c r="AO40" s="1021"/>
      <c r="AP40" s="1021"/>
      <c r="AQ40" s="1021"/>
      <c r="AR40" s="1021"/>
      <c r="AS40" s="1021"/>
      <c r="AT40" s="1021"/>
      <c r="AU40" s="1021"/>
      <c r="AV40" s="1600"/>
    </row>
    <row r="41" spans="1:48" ht="15.75" thickTop="1">
      <c r="B41" s="1021"/>
      <c r="L41" s="1021"/>
      <c r="N41" s="1600"/>
      <c r="P41" s="1600"/>
      <c r="Q41" s="1623"/>
      <c r="R41" s="1600"/>
      <c r="S41" s="1600"/>
      <c r="U41" s="1600"/>
      <c r="W41" s="1021"/>
      <c r="Y41" s="1598"/>
    </row>
    <row r="42" spans="1:48">
      <c r="A42" s="1601" t="str">
        <f>'Exh D-Governmental  '!A52</f>
        <v>(*)    Source: 2018-19 Enacted Financial Plan dated May 11, 2018.</v>
      </c>
      <c r="B42" s="1021"/>
      <c r="S42" s="2292"/>
    </row>
    <row r="43" spans="1:48">
      <c r="A43" s="2405"/>
      <c r="B43" s="1021"/>
      <c r="J43" s="1600"/>
      <c r="K43" s="1021"/>
      <c r="L43" s="732"/>
      <c r="U43" s="1021"/>
      <c r="W43" s="1021"/>
      <c r="AB43" s="1021"/>
      <c r="AC43" s="1021"/>
      <c r="AD43" s="1021"/>
      <c r="AE43" s="1021"/>
      <c r="AF43" s="1021"/>
      <c r="AG43" s="1021"/>
      <c r="AH43" s="1021"/>
      <c r="AI43" s="1021"/>
      <c r="AJ43" s="1021"/>
      <c r="AK43" s="1600"/>
    </row>
    <row r="44" spans="1:48">
      <c r="A44" s="2405"/>
      <c r="B44" s="1021"/>
      <c r="Y44" s="1612"/>
      <c r="Z44" s="1589"/>
      <c r="AA44" s="1612"/>
      <c r="AB44" s="1115"/>
      <c r="AC44" s="1624"/>
    </row>
    <row r="45" spans="1:48">
      <c r="A45" s="2405"/>
      <c r="B45" s="1021"/>
    </row>
    <row r="46" spans="1:48">
      <c r="A46" s="1768"/>
      <c r="B46" s="1021"/>
    </row>
    <row r="47" spans="1:48">
      <c r="A47" s="373"/>
      <c r="B47" s="1021"/>
    </row>
    <row r="48" spans="1:48">
      <c r="B48" s="1021"/>
    </row>
    <row r="49" spans="2:7">
      <c r="B49" s="1021"/>
    </row>
    <row r="52" spans="2:7">
      <c r="G52" s="1623"/>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4"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9"/>
  <sheetViews>
    <sheetView showGridLines="0" zoomScale="70" workbookViewId="0"/>
  </sheetViews>
  <sheetFormatPr defaultColWidth="9.6640625" defaultRowHeight="12.75"/>
  <cols>
    <col min="1" max="1" width="32.33203125" style="2220" customWidth="1"/>
    <col min="2" max="2" width="10.77734375" style="2220" customWidth="1"/>
    <col min="3" max="3" width="3.44140625" style="2220" customWidth="1"/>
    <col min="4" max="4" width="12.109375" style="2220" customWidth="1"/>
    <col min="5" max="5" width="1.6640625" style="2220" customWidth="1"/>
    <col min="6" max="6" width="17" style="2220" bestFit="1" customWidth="1"/>
    <col min="7" max="7" width="1.6640625" style="2220" customWidth="1"/>
    <col min="8" max="8" width="12.109375" style="2220" customWidth="1"/>
    <col min="9" max="9" width="1.6640625" style="2220" customWidth="1"/>
    <col min="10" max="10" width="12.109375" style="2220" customWidth="1"/>
    <col min="11" max="11" width="1.6640625" style="2220" customWidth="1"/>
    <col min="12" max="12" width="12.109375" style="2220" customWidth="1"/>
    <col min="13" max="13" width="1.6640625" style="2220" customWidth="1"/>
    <col min="14" max="14" width="13" style="2220" customWidth="1"/>
    <col min="15" max="15" width="1.6640625" style="2220" customWidth="1"/>
    <col min="16" max="16" width="12.109375" style="2220" customWidth="1"/>
    <col min="17" max="17" width="1.6640625" style="2220" customWidth="1"/>
    <col min="18" max="18" width="12.109375" style="2220" customWidth="1"/>
    <col min="19" max="19" width="1.6640625" style="2220" customWidth="1"/>
    <col min="20" max="20" width="1" style="2220" customWidth="1"/>
    <col min="21" max="21" width="1.6640625" style="2220" customWidth="1"/>
    <col min="22" max="22" width="12.109375" style="2220" customWidth="1"/>
    <col min="23" max="23" width="1.6640625" style="2220" customWidth="1"/>
    <col min="24" max="24" width="17" style="2220" bestFit="1" customWidth="1"/>
    <col min="25" max="25" width="1.6640625" style="2220" customWidth="1"/>
    <col min="26" max="26" width="1" style="2220" customWidth="1"/>
    <col min="27" max="27" width="1.6640625" style="2220" customWidth="1"/>
    <col min="28" max="28" width="12.109375" style="2220" customWidth="1"/>
    <col min="29" max="29" width="1.6640625" style="2220" customWidth="1"/>
    <col min="30" max="30" width="16.21875" style="2220" bestFit="1" customWidth="1"/>
    <col min="31" max="31" width="1.5546875" style="2220" customWidth="1"/>
    <col min="32" max="32" width="0.44140625" style="2220" customWidth="1"/>
    <col min="33" max="33" width="1.5546875" style="2220" customWidth="1"/>
    <col min="34" max="34" width="14.5546875" style="2220" bestFit="1" customWidth="1"/>
    <col min="35" max="35" width="1.6640625" style="2220" customWidth="1"/>
    <col min="36" max="36" width="13.33203125" style="2220" customWidth="1"/>
    <col min="37" max="37" width="2.21875" style="2220" customWidth="1"/>
    <col min="38" max="38" width="1.6640625" style="2220" customWidth="1"/>
    <col min="39" max="16384" width="9.6640625" style="2220"/>
  </cols>
  <sheetData>
    <row r="1" spans="1:38" s="2407" customFormat="1" ht="15">
      <c r="A1" s="1052" t="s">
        <v>1064</v>
      </c>
    </row>
    <row r="2" spans="1:38" s="2218" customFormat="1">
      <c r="A2" s="2411"/>
      <c r="B2" s="2412"/>
      <c r="C2" s="2412"/>
      <c r="D2" s="2407"/>
      <c r="E2" s="2412"/>
      <c r="F2" s="2412"/>
      <c r="G2" s="2412"/>
      <c r="H2" s="2412"/>
      <c r="I2" s="2412"/>
      <c r="J2" s="2412"/>
      <c r="K2" s="2412"/>
      <c r="L2" s="2412"/>
      <c r="M2" s="2412"/>
      <c r="N2" s="2412"/>
      <c r="O2" s="2412"/>
      <c r="P2" s="2412"/>
      <c r="Q2" s="2412"/>
      <c r="R2" s="2412"/>
      <c r="S2" s="2412"/>
      <c r="T2" s="2412"/>
      <c r="U2" s="2412"/>
      <c r="V2" s="2412"/>
      <c r="W2" s="2412"/>
      <c r="X2" s="2412"/>
      <c r="Y2" s="2412"/>
      <c r="Z2" s="2412"/>
      <c r="AA2" s="2412"/>
      <c r="AB2" s="2412"/>
      <c r="AC2" s="2412"/>
      <c r="AD2" s="2412"/>
      <c r="AE2" s="2412"/>
      <c r="AF2" s="2412"/>
      <c r="AG2" s="2412"/>
      <c r="AH2" s="2412"/>
    </row>
    <row r="3" spans="1:38" ht="18">
      <c r="A3" s="2413" t="s">
        <v>0</v>
      </c>
      <c r="B3" s="2414"/>
      <c r="C3" s="2414"/>
      <c r="D3" s="2407"/>
      <c r="E3" s="2414"/>
      <c r="F3" s="2414"/>
      <c r="G3" s="2414"/>
      <c r="H3" s="2414"/>
      <c r="I3" s="2414"/>
      <c r="J3" s="2414"/>
      <c r="K3" s="2414"/>
      <c r="L3" s="2415"/>
      <c r="M3" s="2415"/>
      <c r="N3" s="2415"/>
      <c r="O3" s="2415"/>
      <c r="P3" s="2414"/>
      <c r="Q3" s="2414"/>
      <c r="R3" s="2414"/>
      <c r="S3" s="2415"/>
      <c r="T3" s="2414"/>
      <c r="U3" s="2415"/>
      <c r="V3" s="2415"/>
      <c r="W3" s="2415"/>
      <c r="X3" s="2415"/>
      <c r="Y3" s="2415"/>
      <c r="Z3" s="2415"/>
      <c r="AA3" s="2415"/>
      <c r="AB3" s="2415"/>
      <c r="AC3" s="2415"/>
      <c r="AD3" s="2415"/>
      <c r="AE3" s="2415"/>
      <c r="AF3" s="2414"/>
      <c r="AG3" s="2414"/>
      <c r="AH3" s="2219"/>
      <c r="AI3" s="2219"/>
    </row>
    <row r="4" spans="1:38" ht="18">
      <c r="A4" s="2416" t="s">
        <v>1</v>
      </c>
      <c r="B4" s="2414"/>
      <c r="C4" s="2414"/>
      <c r="D4" s="2407"/>
      <c r="E4" s="2414"/>
      <c r="F4" s="2414"/>
      <c r="G4" s="2414"/>
      <c r="H4" s="2414"/>
      <c r="I4" s="2414"/>
      <c r="J4" s="2414"/>
      <c r="K4" s="2414"/>
      <c r="L4" s="2415"/>
      <c r="M4" s="2415"/>
      <c r="N4" s="2415"/>
      <c r="O4" s="2415"/>
      <c r="P4" s="2414"/>
      <c r="Q4" s="2414"/>
      <c r="R4" s="2414"/>
      <c r="S4" s="2415"/>
      <c r="T4" s="2414"/>
      <c r="U4" s="2415"/>
      <c r="V4" s="2415"/>
      <c r="W4" s="2415"/>
      <c r="X4" s="2415"/>
      <c r="Y4" s="2415"/>
      <c r="Z4" s="2415"/>
      <c r="AA4" s="2415"/>
      <c r="AB4" s="2415"/>
      <c r="AC4" s="2415"/>
      <c r="AD4" s="2415"/>
      <c r="AE4" s="2415"/>
      <c r="AF4" s="2414"/>
      <c r="AG4" s="2414"/>
      <c r="AH4" s="2219"/>
      <c r="AI4" s="2219"/>
    </row>
    <row r="5" spans="1:38" ht="18">
      <c r="A5" s="2413" t="s">
        <v>1393</v>
      </c>
      <c r="B5" s="2414"/>
      <c r="C5" s="2414"/>
      <c r="D5" s="2407"/>
      <c r="E5" s="2414"/>
      <c r="F5" s="2414"/>
      <c r="G5" s="2414"/>
      <c r="H5" s="2415"/>
      <c r="I5" s="2415"/>
      <c r="J5" s="2415"/>
      <c r="K5" s="2414"/>
      <c r="L5" s="2415"/>
      <c r="M5" s="2415"/>
      <c r="N5" s="2415"/>
      <c r="O5" s="2415"/>
      <c r="P5" s="2414"/>
      <c r="Q5" s="2414"/>
      <c r="R5" s="2414"/>
      <c r="S5" s="2415"/>
      <c r="T5" s="2414"/>
      <c r="U5" s="2415"/>
      <c r="V5" s="2415"/>
      <c r="W5" s="2415"/>
      <c r="X5" s="2415"/>
      <c r="Y5" s="2415"/>
      <c r="Z5" s="2415"/>
      <c r="AA5" s="2415"/>
      <c r="AB5" s="2415"/>
      <c r="AC5" s="2415"/>
      <c r="AD5" s="2415"/>
      <c r="AE5" s="2415"/>
      <c r="AF5" s="2414"/>
      <c r="AG5" s="2414"/>
      <c r="AH5" s="2219"/>
      <c r="AI5" s="2219"/>
    </row>
    <row r="6" spans="1:38" ht="14.1" customHeight="1">
      <c r="A6" s="2413" t="s">
        <v>957</v>
      </c>
      <c r="B6" s="2414"/>
      <c r="C6" s="2414"/>
      <c r="D6" s="2407"/>
      <c r="E6" s="2414"/>
      <c r="F6" s="2414"/>
      <c r="G6" s="2414"/>
      <c r="H6" s="2414"/>
      <c r="I6" s="2414"/>
      <c r="J6" s="2414"/>
      <c r="K6" s="2414"/>
      <c r="L6" s="2415"/>
      <c r="M6" s="2415"/>
      <c r="N6" s="2415"/>
      <c r="O6" s="2415"/>
      <c r="P6" s="2414"/>
      <c r="Q6" s="2414"/>
      <c r="R6" s="2414"/>
      <c r="S6" s="2415"/>
      <c r="T6" s="2414"/>
      <c r="U6" s="2415"/>
      <c r="V6" s="2415"/>
      <c r="W6" s="2415"/>
      <c r="X6" s="2415"/>
      <c r="Y6" s="2415"/>
      <c r="Z6" s="2415"/>
      <c r="AA6" s="2415"/>
      <c r="AB6" s="2415"/>
      <c r="AC6" s="2415"/>
      <c r="AD6" s="2415"/>
      <c r="AE6" s="2415"/>
      <c r="AF6" s="2414"/>
      <c r="AG6" s="2414"/>
      <c r="AH6" s="2219"/>
      <c r="AI6" s="2219"/>
    </row>
    <row r="7" spans="1:38" ht="18">
      <c r="A7" s="2414"/>
      <c r="B7" s="2414"/>
      <c r="C7" s="2414"/>
      <c r="D7" s="2407"/>
      <c r="E7" s="2414"/>
      <c r="F7" s="2414"/>
      <c r="G7" s="2414"/>
      <c r="H7" s="2414"/>
      <c r="I7" s="2414"/>
      <c r="J7" s="2414"/>
      <c r="K7" s="2414"/>
      <c r="L7" s="2415"/>
      <c r="M7" s="2415"/>
      <c r="N7" s="2415"/>
      <c r="O7" s="2415"/>
      <c r="P7" s="2415"/>
      <c r="Q7" s="2415"/>
      <c r="R7" s="2415"/>
      <c r="S7" s="2415"/>
      <c r="T7" s="2415"/>
      <c r="U7" s="2415"/>
      <c r="V7" s="2415"/>
      <c r="W7" s="2415"/>
      <c r="X7" s="2415"/>
      <c r="Y7" s="2415"/>
      <c r="Z7" s="2415"/>
      <c r="AA7" s="2415"/>
      <c r="AB7" s="2417"/>
      <c r="AC7" s="2417"/>
      <c r="AD7" s="2417"/>
      <c r="AE7" s="2417"/>
      <c r="AF7" s="2414"/>
      <c r="AG7" s="2414"/>
      <c r="AH7" s="2219"/>
      <c r="AI7" s="2219"/>
      <c r="AJ7" s="2418" t="s">
        <v>986</v>
      </c>
    </row>
    <row r="8" spans="1:38" ht="15.75">
      <c r="A8" s="1132"/>
      <c r="B8" s="1132"/>
      <c r="C8" s="1132"/>
      <c r="D8" s="2407"/>
      <c r="E8" s="1132"/>
      <c r="F8" s="1132"/>
      <c r="G8" s="1132"/>
      <c r="H8" s="1132"/>
      <c r="I8" s="1132"/>
      <c r="J8" s="1132"/>
      <c r="K8" s="1132"/>
      <c r="L8" s="1133"/>
      <c r="M8" s="1133"/>
      <c r="N8" s="1133"/>
      <c r="O8" s="1133"/>
      <c r="P8" s="1133"/>
      <c r="Q8" s="1133"/>
      <c r="R8" s="1133"/>
      <c r="S8" s="1133"/>
      <c r="T8" s="1133"/>
      <c r="U8" s="1133"/>
      <c r="V8" s="1133"/>
      <c r="W8" s="1133"/>
      <c r="X8" s="1133"/>
      <c r="Y8" s="1133"/>
      <c r="Z8" s="1133"/>
      <c r="AA8" s="1133"/>
      <c r="AB8" s="1133"/>
      <c r="AC8" s="1133"/>
      <c r="AD8" s="1133"/>
      <c r="AE8" s="1133"/>
      <c r="AF8" s="1132"/>
      <c r="AG8" s="1132"/>
      <c r="AH8" s="2219"/>
      <c r="AI8" s="2219"/>
    </row>
    <row r="9" spans="1:38" ht="15.75">
      <c r="A9" s="1132"/>
      <c r="B9" s="1132"/>
      <c r="C9" s="1132"/>
      <c r="D9" s="2407"/>
      <c r="E9" s="1133"/>
      <c r="F9" s="1133"/>
      <c r="G9" s="1133"/>
      <c r="H9" s="1133"/>
      <c r="I9" s="1133"/>
      <c r="J9" s="1133"/>
      <c r="K9" s="1133"/>
      <c r="L9" s="1133"/>
      <c r="M9" s="1133"/>
      <c r="N9" s="1133"/>
      <c r="O9" s="1133"/>
      <c r="P9" s="1133"/>
      <c r="Q9" s="1133"/>
      <c r="R9" s="1133"/>
      <c r="S9" s="1133"/>
      <c r="T9" s="1133"/>
      <c r="U9" s="1133"/>
      <c r="V9" s="2419"/>
      <c r="W9" s="2419"/>
      <c r="X9" s="2419"/>
      <c r="Y9" s="2419"/>
      <c r="Z9" s="2419"/>
      <c r="AA9" s="2419"/>
      <c r="AB9" s="2419"/>
      <c r="AC9" s="2419"/>
      <c r="AD9" s="2419"/>
      <c r="AE9" s="2419"/>
      <c r="AF9" s="1133"/>
      <c r="AG9" s="1133"/>
      <c r="AH9" s="2420"/>
      <c r="AI9" s="2420"/>
    </row>
    <row r="10" spans="1:38" ht="3.95" customHeight="1">
      <c r="A10" s="1132"/>
      <c r="B10" s="1132"/>
      <c r="C10" s="1132"/>
      <c r="D10" s="1132"/>
      <c r="E10" s="1132"/>
      <c r="F10" s="1132"/>
      <c r="G10" s="1132"/>
      <c r="H10" s="1132"/>
      <c r="I10" s="1132"/>
      <c r="J10" s="1132"/>
      <c r="K10" s="1132"/>
      <c r="L10" s="1132"/>
      <c r="M10" s="1132"/>
      <c r="N10" s="1132"/>
      <c r="O10" s="1132"/>
      <c r="P10" s="1132"/>
      <c r="Q10" s="1132"/>
      <c r="R10" s="1132"/>
      <c r="S10" s="1132"/>
      <c r="T10" s="999"/>
      <c r="U10" s="999"/>
      <c r="V10" s="1132"/>
      <c r="W10" s="1132"/>
      <c r="X10" s="1132"/>
      <c r="Y10" s="1132"/>
      <c r="Z10" s="1132"/>
      <c r="AA10" s="1132"/>
      <c r="AB10" s="1132"/>
      <c r="AC10" s="1132"/>
      <c r="AD10" s="1132"/>
      <c r="AE10" s="1132"/>
      <c r="AF10" s="1132"/>
      <c r="AG10" s="1132"/>
      <c r="AH10" s="2219"/>
      <c r="AI10" s="2219"/>
    </row>
    <row r="11" spans="1:38" ht="15" customHeight="1">
      <c r="A11" s="1132"/>
      <c r="B11" s="1132"/>
      <c r="C11" s="1132"/>
      <c r="D11" s="2421" t="s">
        <v>3</v>
      </c>
      <c r="E11" s="2421"/>
      <c r="F11" s="2421"/>
      <c r="G11" s="999"/>
      <c r="H11" s="2421" t="s">
        <v>58</v>
      </c>
      <c r="I11" s="2421"/>
      <c r="J11" s="2421"/>
      <c r="K11" s="999"/>
      <c r="L11" s="2421" t="s">
        <v>5</v>
      </c>
      <c r="M11" s="2421"/>
      <c r="N11" s="2421"/>
      <c r="O11" s="999"/>
      <c r="P11" s="2421" t="s">
        <v>122</v>
      </c>
      <c r="Q11" s="2421"/>
      <c r="R11" s="2421"/>
      <c r="S11" s="1132"/>
      <c r="T11" s="999"/>
      <c r="U11" s="999"/>
      <c r="V11" s="2422" t="s">
        <v>987</v>
      </c>
      <c r="W11" s="2421"/>
      <c r="X11" s="2421"/>
      <c r="Y11" s="2421"/>
      <c r="Z11" s="2423"/>
      <c r="AA11" s="2423"/>
      <c r="AB11" s="2421"/>
      <c r="AC11" s="2421"/>
      <c r="AD11" s="2421"/>
      <c r="AE11" s="2424"/>
      <c r="AF11" s="2425"/>
      <c r="AG11" s="194"/>
      <c r="AH11" s="2422" t="s">
        <v>988</v>
      </c>
      <c r="AI11" s="2421"/>
      <c r="AJ11" s="2421"/>
    </row>
    <row r="12" spans="1:38" ht="15.75">
      <c r="A12" s="1132"/>
      <c r="B12" s="1132"/>
      <c r="C12" s="1132"/>
      <c r="D12" s="2428" t="s">
        <v>7</v>
      </c>
      <c r="E12" s="2428"/>
      <c r="F12" s="3701" t="str">
        <f>'Exhibit A'!F11</f>
        <v>1 MO. ENDED</v>
      </c>
      <c r="G12" s="194"/>
      <c r="H12" s="2426" t="s">
        <v>7</v>
      </c>
      <c r="I12" s="2427"/>
      <c r="J12" s="2428" t="str">
        <f>F12</f>
        <v>1 MO. ENDED</v>
      </c>
      <c r="K12" s="194"/>
      <c r="L12" s="2426" t="s">
        <v>7</v>
      </c>
      <c r="M12" s="2429"/>
      <c r="N12" s="2428" t="str">
        <f>F12</f>
        <v>1 MO. ENDED</v>
      </c>
      <c r="O12" s="194"/>
      <c r="P12" s="2426" t="s">
        <v>7</v>
      </c>
      <c r="Q12" s="2427"/>
      <c r="R12" s="2428" t="str">
        <f>F12</f>
        <v>1 MO. ENDED</v>
      </c>
      <c r="S12" s="1133"/>
      <c r="T12" s="194"/>
      <c r="U12" s="194"/>
      <c r="V12" s="2426" t="s">
        <v>7</v>
      </c>
      <c r="W12" s="2426"/>
      <c r="X12" s="2426" t="str">
        <f>F12</f>
        <v>1 MO. ENDED</v>
      </c>
      <c r="Y12" s="2426"/>
      <c r="Z12" s="2430"/>
      <c r="AA12" s="2430"/>
      <c r="AB12" s="2426" t="s">
        <v>7</v>
      </c>
      <c r="AC12" s="2426"/>
      <c r="AD12" s="2428" t="str">
        <f>F12</f>
        <v>1 MO. ENDED</v>
      </c>
      <c r="AE12" s="2431"/>
      <c r="AF12" s="2430"/>
      <c r="AG12" s="2432"/>
      <c r="AH12" s="2433" t="s">
        <v>8</v>
      </c>
      <c r="AI12" s="2434"/>
      <c r="AJ12" s="2433" t="s">
        <v>9</v>
      </c>
      <c r="AK12" s="2221"/>
      <c r="AL12" s="2219"/>
    </row>
    <row r="13" spans="1:38" ht="15.75">
      <c r="A13" s="1132"/>
      <c r="B13" s="1132"/>
      <c r="C13" s="1132"/>
      <c r="D13" s="2436" t="str">
        <f>'Exhibit A'!D12</f>
        <v>APR. 2018</v>
      </c>
      <c r="E13" s="2440"/>
      <c r="F13" s="2436" t="str">
        <f>'Exhibit A'!F12</f>
        <v>APR. 30, 2018</v>
      </c>
      <c r="G13" s="1133"/>
      <c r="H13" s="2436" t="str">
        <f>D13</f>
        <v>APR. 2018</v>
      </c>
      <c r="I13" s="2435"/>
      <c r="J13" s="2436" t="str">
        <f>F13</f>
        <v>APR. 30, 2018</v>
      </c>
      <c r="K13" s="1133"/>
      <c r="L13" s="2436" t="str">
        <f>D13</f>
        <v>APR. 2018</v>
      </c>
      <c r="M13" s="2435"/>
      <c r="N13" s="2436" t="str">
        <f>F13</f>
        <v>APR. 30, 2018</v>
      </c>
      <c r="O13" s="1133"/>
      <c r="P13" s="2436" t="str">
        <f>D13</f>
        <v>APR. 2018</v>
      </c>
      <c r="Q13" s="2435"/>
      <c r="R13" s="2436" t="str">
        <f>F13</f>
        <v>APR. 30, 2018</v>
      </c>
      <c r="S13" s="1133"/>
      <c r="T13" s="194"/>
      <c r="U13" s="194"/>
      <c r="V13" s="2437" t="str">
        <f>D13</f>
        <v>APR. 2018</v>
      </c>
      <c r="W13" s="2438"/>
      <c r="X13" s="2437" t="str">
        <f>F13</f>
        <v>APR. 30, 2018</v>
      </c>
      <c r="Y13" s="2438"/>
      <c r="Z13" s="2439"/>
      <c r="AA13" s="2439"/>
      <c r="AB13" s="3655" t="str">
        <f>'Exhibit A'!AB12</f>
        <v>APR. 2017</v>
      </c>
      <c r="AC13" s="2440"/>
      <c r="AD13" s="3655" t="str">
        <f>'Exhibit A'!AD12</f>
        <v>APR. 30, 2017</v>
      </c>
      <c r="AE13" s="2440"/>
      <c r="AF13" s="3656"/>
      <c r="AG13" s="2438"/>
      <c r="AH13" s="2436" t="s">
        <v>12</v>
      </c>
      <c r="AI13" s="2440"/>
      <c r="AJ13" s="2436" t="s">
        <v>13</v>
      </c>
      <c r="AK13" s="3657"/>
      <c r="AL13" s="2222"/>
    </row>
    <row r="14" spans="1:38" ht="15">
      <c r="A14" s="1132"/>
      <c r="B14" s="1132"/>
      <c r="C14" s="1132"/>
      <c r="D14" s="999"/>
      <c r="E14" s="999"/>
      <c r="F14" s="999"/>
      <c r="G14" s="1132"/>
      <c r="H14" s="999"/>
      <c r="I14" s="999"/>
      <c r="J14" s="999"/>
      <c r="K14" s="1132"/>
      <c r="L14" s="999"/>
      <c r="M14" s="999"/>
      <c r="N14" s="999"/>
      <c r="O14" s="1132"/>
      <c r="P14" s="999"/>
      <c r="Q14" s="999"/>
      <c r="R14" s="999"/>
      <c r="S14" s="1132"/>
      <c r="T14" s="2441"/>
      <c r="U14" s="2441"/>
      <c r="V14" s="2442"/>
      <c r="W14" s="999"/>
      <c r="X14" s="2442"/>
      <c r="Y14" s="999"/>
      <c r="Z14" s="2443"/>
      <c r="AA14" s="999"/>
      <c r="AB14" s="3658"/>
      <c r="AC14" s="3659"/>
      <c r="AD14" s="3658"/>
      <c r="AE14" s="3659"/>
      <c r="AF14" s="3660"/>
      <c r="AG14" s="3659"/>
      <c r="AH14" s="3659"/>
      <c r="AI14" s="3659"/>
      <c r="AJ14" s="3661"/>
      <c r="AK14" s="3662"/>
      <c r="AL14" s="2219"/>
    </row>
    <row r="15" spans="1:38" ht="18" customHeight="1">
      <c r="A15" s="2444" t="s">
        <v>1294</v>
      </c>
      <c r="B15" s="2445"/>
      <c r="C15" s="2445"/>
      <c r="D15" s="1132"/>
      <c r="E15" s="1132"/>
      <c r="F15" s="1132"/>
      <c r="G15" s="1132"/>
      <c r="H15" s="1132"/>
      <c r="I15" s="1132"/>
      <c r="J15" s="1132"/>
      <c r="K15" s="1132"/>
      <c r="L15" s="1132"/>
      <c r="M15" s="1132"/>
      <c r="N15" s="1132"/>
      <c r="O15" s="1132"/>
      <c r="P15" s="1132"/>
      <c r="Q15" s="1132"/>
      <c r="R15" s="1132"/>
      <c r="S15" s="1132"/>
      <c r="T15" s="2441"/>
      <c r="U15" s="2441"/>
      <c r="V15" s="1132"/>
      <c r="W15" s="1132"/>
      <c r="X15" s="1132"/>
      <c r="Y15" s="1132"/>
      <c r="Z15" s="2443"/>
      <c r="AA15" s="999"/>
      <c r="AB15" s="3663"/>
      <c r="AC15" s="3663"/>
      <c r="AD15" s="3663"/>
      <c r="AE15" s="3663"/>
      <c r="AF15" s="3660"/>
      <c r="AG15" s="3663"/>
      <c r="AH15" s="3663"/>
      <c r="AI15" s="3663"/>
      <c r="AJ15" s="3661"/>
      <c r="AK15" s="3662"/>
      <c r="AL15" s="2219"/>
    </row>
    <row r="16" spans="1:38" s="3006" customFormat="1" ht="18" customHeight="1">
      <c r="A16" s="2995" t="s">
        <v>989</v>
      </c>
      <c r="B16" s="2995"/>
      <c r="C16" s="2996"/>
      <c r="D16" s="2912">
        <f>'Exhibit F'!D19</f>
        <v>2930.1</v>
      </c>
      <c r="E16" s="2913"/>
      <c r="F16" s="2912">
        <f>'Exhibit F'!AC19</f>
        <v>2930.1</v>
      </c>
      <c r="G16" s="2913"/>
      <c r="H16" s="2937">
        <v>0</v>
      </c>
      <c r="I16" s="2913"/>
      <c r="J16" s="2937">
        <v>0</v>
      </c>
      <c r="K16" s="2913"/>
      <c r="L16" s="2937">
        <v>0</v>
      </c>
      <c r="M16" s="2913"/>
      <c r="N16" s="2937">
        <v>0</v>
      </c>
      <c r="O16" s="2913"/>
      <c r="P16" s="2937">
        <v>0</v>
      </c>
      <c r="Q16" s="2913"/>
      <c r="R16" s="2937">
        <v>0</v>
      </c>
      <c r="S16" s="2997"/>
      <c r="T16" s="2998"/>
      <c r="U16" s="2999"/>
      <c r="V16" s="3000">
        <f>SUM(D16)+SUM(H16)+SUM(L16)+SUM(P16)</f>
        <v>2930.1</v>
      </c>
      <c r="W16" s="2913"/>
      <c r="X16" s="3000">
        <f>SUM(F16)+SUM(J16)+SUM(N16)+SUM(R16)</f>
        <v>2930.1</v>
      </c>
      <c r="Y16" s="3001"/>
      <c r="Z16" s="3002"/>
      <c r="AA16" s="2913"/>
      <c r="AB16" s="3664">
        <v>2755.8</v>
      </c>
      <c r="AC16" s="3665"/>
      <c r="AD16" s="3003">
        <f>'Cashflow Governmental'!AE21</f>
        <v>2755.8</v>
      </c>
      <c r="AE16" s="3003"/>
      <c r="AF16" s="3660"/>
      <c r="AG16" s="3666"/>
      <c r="AH16" s="3003">
        <f>ROUND(SUM(X16)-SUM(AD16),1)</f>
        <v>174.3</v>
      </c>
      <c r="AI16" s="3667"/>
      <c r="AJ16" s="3004">
        <f>ROUND(AH16/AD16,3)</f>
        <v>6.3E-2</v>
      </c>
      <c r="AK16" s="3012"/>
      <c r="AL16" s="3005"/>
    </row>
    <row r="17" spans="1:38" s="3006" customFormat="1" ht="18" customHeight="1">
      <c r="A17" s="3007" t="s">
        <v>1061</v>
      </c>
      <c r="B17" s="2995"/>
      <c r="C17" s="3008"/>
      <c r="D17" s="1020">
        <f>'Exhibit F'!D20</f>
        <v>4356</v>
      </c>
      <c r="E17" s="1019"/>
      <c r="F17" s="1020">
        <f>'Exhibit F'!AC20</f>
        <v>4356</v>
      </c>
      <c r="G17" s="1019"/>
      <c r="H17" s="2917">
        <v>0</v>
      </c>
      <c r="I17" s="2915"/>
      <c r="J17" s="2918">
        <v>0</v>
      </c>
      <c r="K17" s="1019"/>
      <c r="L17" s="2917">
        <v>0</v>
      </c>
      <c r="M17" s="2915"/>
      <c r="N17" s="2938">
        <v>0</v>
      </c>
      <c r="O17" s="1019"/>
      <c r="P17" s="2917">
        <v>0</v>
      </c>
      <c r="Q17" s="2915"/>
      <c r="R17" s="2938">
        <v>0</v>
      </c>
      <c r="S17" s="1019"/>
      <c r="T17" s="3009"/>
      <c r="U17" s="3009"/>
      <c r="V17" s="2916">
        <f>SUM(D17)+SUM(H17)+SUM(L17)+SUM(P17)</f>
        <v>4356</v>
      </c>
      <c r="W17" s="1018"/>
      <c r="X17" s="2916">
        <f t="shared" ref="X17:X24" si="0">SUM(F17)+SUM(J17)+SUM(N17)+SUM(R17)</f>
        <v>4356</v>
      </c>
      <c r="Y17" s="3010"/>
      <c r="Z17" s="3011"/>
      <c r="AA17" s="996"/>
      <c r="AB17" s="2914">
        <v>4168.2</v>
      </c>
      <c r="AC17" s="1020"/>
      <c r="AD17" s="2919">
        <f>'Cashflow Governmental'!AE22</f>
        <v>4168.2</v>
      </c>
      <c r="AE17" s="2919"/>
      <c r="AF17" s="3660"/>
      <c r="AG17" s="3668"/>
      <c r="AH17" s="2919">
        <f>ROUND(SUM(X17)-SUM(AD17),1)</f>
        <v>187.8</v>
      </c>
      <c r="AI17" s="3669"/>
      <c r="AJ17" s="3012">
        <f>ROUND(AH17/AD17,3)</f>
        <v>4.4999999999999998E-2</v>
      </c>
      <c r="AK17" s="3012"/>
      <c r="AL17" s="3005"/>
    </row>
    <row r="18" spans="1:38" s="3006" customFormat="1" ht="18" customHeight="1">
      <c r="A18" s="2995" t="s">
        <v>990</v>
      </c>
      <c r="B18" s="2995" t="s">
        <v>15</v>
      </c>
      <c r="C18" s="2995"/>
      <c r="D18" s="1020">
        <f>'Exhibit F'!D21</f>
        <v>1639.5</v>
      </c>
      <c r="E18" s="1019"/>
      <c r="F18" s="1020">
        <f>'Exhibit F'!AC21</f>
        <v>1639.5</v>
      </c>
      <c r="G18" s="1019"/>
      <c r="H18" s="2917">
        <v>0</v>
      </c>
      <c r="I18" s="2915"/>
      <c r="J18" s="2918">
        <v>0</v>
      </c>
      <c r="K18" s="1019"/>
      <c r="L18" s="2917">
        <v>0</v>
      </c>
      <c r="M18" s="2915"/>
      <c r="N18" s="2938">
        <v>0</v>
      </c>
      <c r="O18" s="1019"/>
      <c r="P18" s="2917">
        <v>0</v>
      </c>
      <c r="Q18" s="2915"/>
      <c r="R18" s="2938">
        <v>0</v>
      </c>
      <c r="S18" s="1019"/>
      <c r="T18" s="3009"/>
      <c r="U18" s="3009"/>
      <c r="V18" s="2916">
        <f>SUM(D18)+SUM(H18)+SUM(L18)+SUM(P18)</f>
        <v>1639.5</v>
      </c>
      <c r="W18" s="1018"/>
      <c r="X18" s="2916">
        <f t="shared" si="0"/>
        <v>1639.5</v>
      </c>
      <c r="Y18" s="3010"/>
      <c r="Z18" s="3011"/>
      <c r="AA18" s="996"/>
      <c r="AB18" s="2914">
        <v>1572.8</v>
      </c>
      <c r="AC18" s="1020"/>
      <c r="AD18" s="2919">
        <f>'Cashflow Governmental'!AE23</f>
        <v>1572.8</v>
      </c>
      <c r="AE18" s="2919"/>
      <c r="AF18" s="3660"/>
      <c r="AG18" s="3668"/>
      <c r="AH18" s="2919">
        <f>ROUND(SUM(X18)-SUM(AD18),1)</f>
        <v>66.7</v>
      </c>
      <c r="AI18" s="3669"/>
      <c r="AJ18" s="3012">
        <f>ROUND(AH18/AD18,3)</f>
        <v>4.2000000000000003E-2</v>
      </c>
      <c r="AK18" s="3012"/>
      <c r="AL18" s="3005"/>
    </row>
    <row r="19" spans="1:38" s="3006" customFormat="1" ht="18" customHeight="1">
      <c r="A19" s="3007" t="s">
        <v>991</v>
      </c>
      <c r="B19" s="2995"/>
      <c r="C19" s="2995"/>
      <c r="D19" s="1020">
        <f>'Exhibit F'!D22</f>
        <v>-279.89999999999998</v>
      </c>
      <c r="E19" s="1019"/>
      <c r="F19" s="1020">
        <f>'Exhibit F'!AC22</f>
        <v>-279.89999999999998</v>
      </c>
      <c r="G19" s="1019"/>
      <c r="H19" s="2917">
        <v>0</v>
      </c>
      <c r="I19" s="2915"/>
      <c r="J19" s="2918">
        <v>0</v>
      </c>
      <c r="K19" s="1019"/>
      <c r="L19" s="2917">
        <v>0</v>
      </c>
      <c r="M19" s="2915"/>
      <c r="N19" s="2938">
        <v>0</v>
      </c>
      <c r="O19" s="1019"/>
      <c r="P19" s="2917">
        <v>0</v>
      </c>
      <c r="Q19" s="2915"/>
      <c r="R19" s="2938">
        <v>0</v>
      </c>
      <c r="S19" s="1019"/>
      <c r="T19" s="3009"/>
      <c r="U19" s="3009"/>
      <c r="V19" s="2916">
        <f>SUM(D19)+SUM(H19)+SUM(L19)+SUM(P19)</f>
        <v>-279.89999999999998</v>
      </c>
      <c r="W19" s="1018"/>
      <c r="X19" s="2916">
        <f t="shared" si="0"/>
        <v>-279.89999999999998</v>
      </c>
      <c r="Y19" s="3010"/>
      <c r="Z19" s="3011"/>
      <c r="AA19" s="996"/>
      <c r="AB19" s="2914">
        <v>-201.5</v>
      </c>
      <c r="AC19" s="1020"/>
      <c r="AD19" s="2919">
        <f>'Cashflow Governmental'!AE24</f>
        <v>-201.5</v>
      </c>
      <c r="AE19" s="2919"/>
      <c r="AF19" s="3660"/>
      <c r="AG19" s="3668"/>
      <c r="AH19" s="2919">
        <f>-ROUND(SUM(X19)-SUM(AD19),1)</f>
        <v>78.400000000000006</v>
      </c>
      <c r="AI19" s="3669"/>
      <c r="AJ19" s="3012">
        <f>-ROUND(AH19/AD19,3)</f>
        <v>0.38900000000000001</v>
      </c>
      <c r="AK19" s="3012"/>
      <c r="AL19" s="3005"/>
    </row>
    <row r="20" spans="1:38" s="3006" customFormat="1" ht="18" customHeight="1">
      <c r="A20" s="3007" t="s">
        <v>992</v>
      </c>
      <c r="B20" s="2995" t="s">
        <v>15</v>
      </c>
      <c r="C20" s="2995"/>
      <c r="D20" s="1020">
        <f>'Exhibit F'!D23</f>
        <v>132.5</v>
      </c>
      <c r="E20" s="1019"/>
      <c r="F20" s="1020">
        <f>'Exhibit F'!AC23</f>
        <v>132.5</v>
      </c>
      <c r="G20" s="1019"/>
      <c r="H20" s="2917">
        <v>0</v>
      </c>
      <c r="I20" s="2915"/>
      <c r="J20" s="2918">
        <v>0</v>
      </c>
      <c r="K20" s="1019"/>
      <c r="L20" s="2917">
        <v>0</v>
      </c>
      <c r="M20" s="2915"/>
      <c r="N20" s="2938">
        <v>0</v>
      </c>
      <c r="O20" s="1019"/>
      <c r="P20" s="2917">
        <v>0</v>
      </c>
      <c r="Q20" s="2915"/>
      <c r="R20" s="2918">
        <v>0</v>
      </c>
      <c r="S20" s="1019"/>
      <c r="T20" s="3009"/>
      <c r="U20" s="3009"/>
      <c r="V20" s="2916">
        <f>SUM(D20)+SUM(H20)+SUM(L20)+SUM(P20)</f>
        <v>132.5</v>
      </c>
      <c r="W20" s="1018"/>
      <c r="X20" s="2916">
        <f t="shared" si="0"/>
        <v>132.5</v>
      </c>
      <c r="Y20" s="3010"/>
      <c r="Z20" s="3011"/>
      <c r="AA20" s="996"/>
      <c r="AB20" s="2914">
        <v>154</v>
      </c>
      <c r="AC20" s="1020"/>
      <c r="AD20" s="2919">
        <f>'Cashflow Governmental'!AE25</f>
        <v>154</v>
      </c>
      <c r="AE20" s="2919"/>
      <c r="AF20" s="3660"/>
      <c r="AG20" s="3668"/>
      <c r="AH20" s="3013">
        <f>ROUND(SUM(X20)-SUM(AD20),1)</f>
        <v>-21.5</v>
      </c>
      <c r="AI20" s="3669"/>
      <c r="AJ20" s="3014">
        <f>ROUND(AH20/AD20,3)</f>
        <v>-0.14000000000000001</v>
      </c>
      <c r="AK20" s="3012"/>
      <c r="AL20" s="3005"/>
    </row>
    <row r="21" spans="1:38" s="3022" customFormat="1" ht="18" customHeight="1">
      <c r="A21" s="3015" t="s">
        <v>993</v>
      </c>
      <c r="B21" s="3015"/>
      <c r="C21" s="3015"/>
      <c r="D21" s="2939">
        <f>ROUND(SUM(D16:D20),1)</f>
        <v>8778.2000000000007</v>
      </c>
      <c r="E21" s="199"/>
      <c r="F21" s="2939">
        <f>ROUND(SUM(F16:F20),1)</f>
        <v>8778.2000000000007</v>
      </c>
      <c r="G21" s="195"/>
      <c r="H21" s="2939">
        <f>ROUND(SUM(H16:H20),1)</f>
        <v>0</v>
      </c>
      <c r="I21" s="2940"/>
      <c r="J21" s="2939">
        <f>ROUND(SUM(J16:J20),1)</f>
        <v>0</v>
      </c>
      <c r="K21" s="195"/>
      <c r="L21" s="2939">
        <f>ROUND(SUM(L16:L20),1)</f>
        <v>0</v>
      </c>
      <c r="M21" s="2940"/>
      <c r="N21" s="2939">
        <f>ROUND(SUM(N16:N20),1)</f>
        <v>0</v>
      </c>
      <c r="O21" s="195"/>
      <c r="P21" s="2939">
        <f>ROUND(SUM(P16:P20),1)</f>
        <v>0</v>
      </c>
      <c r="Q21" s="2940"/>
      <c r="R21" s="2939">
        <f>ROUND(SUM(R16:R20),1)</f>
        <v>0</v>
      </c>
      <c r="S21" s="195"/>
      <c r="T21" s="3016"/>
      <c r="U21" s="3016"/>
      <c r="V21" s="3017">
        <f>ROUND(SUM(V16:V20),1)</f>
        <v>8778.2000000000007</v>
      </c>
      <c r="W21" s="199"/>
      <c r="X21" s="3017">
        <f>ROUND(SUM(X16:X20),1)</f>
        <v>8778.2000000000007</v>
      </c>
      <c r="Y21" s="3018"/>
      <c r="Z21" s="1880"/>
      <c r="AA21" s="199"/>
      <c r="AB21" s="3370">
        <f>ROUND(SUM(AB16:AB20),1)</f>
        <v>8449.2999999999993</v>
      </c>
      <c r="AC21" s="106"/>
      <c r="AD21" s="3670">
        <f>ROUND(SUM(AD16:AD20),1)</f>
        <v>8449.2999999999993</v>
      </c>
      <c r="AE21" s="3671"/>
      <c r="AF21" s="3660"/>
      <c r="AG21" s="3672"/>
      <c r="AH21" s="3019">
        <f>ROUND(SUM(X21)-SUM(AD21),1)</f>
        <v>328.9</v>
      </c>
      <c r="AI21" s="3673"/>
      <c r="AJ21" s="3020">
        <f>ROUND(AH21/AD21,3)</f>
        <v>3.9E-2</v>
      </c>
      <c r="AK21" s="3674"/>
      <c r="AL21" s="3021"/>
    </row>
    <row r="22" spans="1:38" s="3006" customFormat="1" ht="18" customHeight="1">
      <c r="A22" s="3007" t="s">
        <v>994</v>
      </c>
      <c r="B22" s="2995"/>
      <c r="C22" s="2995"/>
      <c r="D22" s="2914">
        <f>'Exhibit F'!D25</f>
        <v>0</v>
      </c>
      <c r="E22" s="2915"/>
      <c r="F22" s="2914">
        <f>'Exhibit F'!AC25</f>
        <v>0</v>
      </c>
      <c r="G22" s="997"/>
      <c r="H22" s="1020">
        <f>'Exhibit G'!D18</f>
        <v>0</v>
      </c>
      <c r="I22" s="2915"/>
      <c r="J22" s="2948">
        <f>'Exhibit G'!AD18</f>
        <v>0</v>
      </c>
      <c r="K22" s="997"/>
      <c r="L22" s="2941">
        <v>0</v>
      </c>
      <c r="M22" s="2915"/>
      <c r="N22" s="2941">
        <v>0</v>
      </c>
      <c r="O22" s="997"/>
      <c r="P22" s="2941">
        <v>0</v>
      </c>
      <c r="Q22" s="2915"/>
      <c r="R22" s="2942">
        <v>0</v>
      </c>
      <c r="S22" s="997"/>
      <c r="T22" s="3023"/>
      <c r="U22" s="3023"/>
      <c r="V22" s="3031">
        <f>SUM(D22)+SUM(H22)+SUM(L22)+SUM(P22)</f>
        <v>0</v>
      </c>
      <c r="W22" s="996"/>
      <c r="X22" s="3031">
        <f t="shared" si="0"/>
        <v>0</v>
      </c>
      <c r="Y22" s="3010"/>
      <c r="Z22" s="3011"/>
      <c r="AA22" s="996"/>
      <c r="AB22" s="2914">
        <v>0</v>
      </c>
      <c r="AC22" s="2304"/>
      <c r="AD22" s="2919">
        <f>'Cashflow Governmental'!AE27</f>
        <v>0</v>
      </c>
      <c r="AE22" s="2917"/>
      <c r="AF22" s="3660"/>
      <c r="AG22" s="3668"/>
      <c r="AH22" s="2918">
        <f>ROUND(SUM(X22)-SUM(AD22),1)</f>
        <v>0</v>
      </c>
      <c r="AI22" s="3669"/>
      <c r="AJ22" s="2843">
        <f>ROUND(IF(AD22=0,0,AH22/(AD22)),3)</f>
        <v>0</v>
      </c>
      <c r="AK22" s="3675"/>
      <c r="AL22" s="3005"/>
    </row>
    <row r="23" spans="1:38" s="3006" customFormat="1" ht="18" customHeight="1">
      <c r="A23" s="3007" t="s">
        <v>995</v>
      </c>
      <c r="B23" s="2995"/>
      <c r="C23" s="2995"/>
      <c r="D23" s="2914">
        <f>'Exhibit F'!D26</f>
        <v>-2928.1</v>
      </c>
      <c r="E23" s="1019"/>
      <c r="F23" s="2914">
        <f>'Exhibit F'!AC26</f>
        <v>-2928.1</v>
      </c>
      <c r="G23" s="997"/>
      <c r="H23" s="2917">
        <v>0</v>
      </c>
      <c r="I23" s="2915"/>
      <c r="J23" s="2918">
        <v>0</v>
      </c>
      <c r="K23" s="997"/>
      <c r="L23" s="2919">
        <f>'Exhibit H'!B16</f>
        <v>2928.1</v>
      </c>
      <c r="M23" s="2915"/>
      <c r="N23" s="2919">
        <f>'Exhibit H'!AA16</f>
        <v>2928.1</v>
      </c>
      <c r="O23" s="997"/>
      <c r="P23" s="2917">
        <v>0</v>
      </c>
      <c r="Q23" s="2915"/>
      <c r="R23" s="2938">
        <v>0</v>
      </c>
      <c r="S23" s="997"/>
      <c r="T23" s="3023"/>
      <c r="U23" s="3023"/>
      <c r="V23" s="2916">
        <f>SUM(D23)+SUM(H23)+SUM(L23)+SUM(P23)</f>
        <v>0</v>
      </c>
      <c r="W23" s="996"/>
      <c r="X23" s="2916">
        <f t="shared" si="0"/>
        <v>0</v>
      </c>
      <c r="Y23" s="3010"/>
      <c r="Z23" s="3011"/>
      <c r="AA23" s="996"/>
      <c r="AB23" s="2914">
        <v>0</v>
      </c>
      <c r="AC23" s="2304"/>
      <c r="AD23" s="2919">
        <f>'Cashflow Governmental'!AE28</f>
        <v>0</v>
      </c>
      <c r="AE23" s="2917"/>
      <c r="AF23" s="3660"/>
      <c r="AG23" s="3668"/>
      <c r="AH23" s="2918">
        <f>ROUND(SUM(X23)-SUM(AD23),1)</f>
        <v>0</v>
      </c>
      <c r="AI23" s="3669"/>
      <c r="AJ23" s="2843">
        <f>ROUND(IF(AD23=0,0,AH23/(AD23)),3)</f>
        <v>0</v>
      </c>
      <c r="AK23" s="3675"/>
      <c r="AL23" s="3005"/>
    </row>
    <row r="24" spans="1:38" s="3006" customFormat="1" ht="18" customHeight="1">
      <c r="A24" s="2995" t="s">
        <v>996</v>
      </c>
      <c r="B24" s="2995"/>
      <c r="C24" s="2995"/>
      <c r="D24" s="2914">
        <f>'Exhibit F'!D27</f>
        <v>-2922</v>
      </c>
      <c r="E24" s="1018"/>
      <c r="F24" s="2914">
        <f>'Exhibit F'!AC27</f>
        <v>-2922</v>
      </c>
      <c r="G24" s="1019"/>
      <c r="H24" s="2917">
        <v>0</v>
      </c>
      <c r="I24" s="2915"/>
      <c r="J24" s="2918">
        <v>0</v>
      </c>
      <c r="K24" s="1019"/>
      <c r="L24" s="2917">
        <v>0</v>
      </c>
      <c r="M24" s="2915"/>
      <c r="N24" s="2938">
        <v>0</v>
      </c>
      <c r="O24" s="1019"/>
      <c r="P24" s="2917">
        <v>0</v>
      </c>
      <c r="Q24" s="2915"/>
      <c r="R24" s="2938">
        <v>0</v>
      </c>
      <c r="S24" s="1019"/>
      <c r="T24" s="3009"/>
      <c r="U24" s="3009"/>
      <c r="V24" s="2916">
        <f>SUM(D24)+SUM(H24)+SUM(L24)+SUM(P24)</f>
        <v>-2922</v>
      </c>
      <c r="W24" s="1018"/>
      <c r="X24" s="2916">
        <f t="shared" si="0"/>
        <v>-2922</v>
      </c>
      <c r="Y24" s="3010"/>
      <c r="Z24" s="3011"/>
      <c r="AA24" s="996"/>
      <c r="AB24" s="2914">
        <v>-3447.5</v>
      </c>
      <c r="AC24" s="1020"/>
      <c r="AD24" s="2919">
        <f>'Cashflow Governmental'!AE29</f>
        <v>-3447.5</v>
      </c>
      <c r="AE24" s="2919"/>
      <c r="AF24" s="3660"/>
      <c r="AG24" s="3668"/>
      <c r="AH24" s="2919">
        <f>-ROUND(SUM(X24)-SUM(AD24),1)</f>
        <v>-525.5</v>
      </c>
      <c r="AI24" s="3669"/>
      <c r="AJ24" s="3025">
        <f>-ROUND(AH24/AD24,3)</f>
        <v>-0.152</v>
      </c>
      <c r="AK24" s="3012"/>
      <c r="AL24" s="3005"/>
    </row>
    <row r="25" spans="1:38" s="3006" customFormat="1" ht="18" customHeight="1">
      <c r="A25" s="3026" t="s">
        <v>997</v>
      </c>
      <c r="B25" s="2995"/>
      <c r="C25" s="2995"/>
      <c r="D25" s="2943">
        <f>ROUND(SUM(D21:D24),1)</f>
        <v>2928.1</v>
      </c>
      <c r="E25" s="199"/>
      <c r="F25" s="2943">
        <f>ROUND(SUM(F21:F24),1)</f>
        <v>2928.1</v>
      </c>
      <c r="G25" s="195"/>
      <c r="H25" s="2943">
        <f>ROUND(SUM(H21:H24),1)</f>
        <v>0</v>
      </c>
      <c r="I25" s="2940"/>
      <c r="J25" s="2943">
        <f>ROUND(SUM(J21:J24),1)</f>
        <v>0</v>
      </c>
      <c r="K25" s="195"/>
      <c r="L25" s="2943">
        <f>ROUND(SUM(L21:L24),1)</f>
        <v>2928.1</v>
      </c>
      <c r="M25" s="2940"/>
      <c r="N25" s="2943">
        <f>ROUND(SUM(N21:N24),1)</f>
        <v>2928.1</v>
      </c>
      <c r="O25" s="195"/>
      <c r="P25" s="2943">
        <f>ROUND(SUM(P21:P24),1)</f>
        <v>0</v>
      </c>
      <c r="Q25" s="2940"/>
      <c r="R25" s="2943">
        <f>ROUND(SUM(R21:R24),1)</f>
        <v>0</v>
      </c>
      <c r="S25" s="195"/>
      <c r="T25" s="3016"/>
      <c r="U25" s="3016"/>
      <c r="V25" s="3017">
        <f>ROUND(SUM(V21:V24),1)</f>
        <v>5856.2</v>
      </c>
      <c r="W25" s="199"/>
      <c r="X25" s="3017">
        <f>ROUND(SUM(X21:X24),1)</f>
        <v>5856.2</v>
      </c>
      <c r="Y25" s="3027"/>
      <c r="Z25" s="1880"/>
      <c r="AA25" s="199"/>
      <c r="AB25" s="3676">
        <f>ROUND(SUM(AB21:AB24),1)</f>
        <v>5001.8</v>
      </c>
      <c r="AC25" s="106"/>
      <c r="AD25" s="3677">
        <f>ROUND(SUM(AD21:AD24),1)</f>
        <v>5001.8</v>
      </c>
      <c r="AE25" s="2371" t="s">
        <v>15</v>
      </c>
      <c r="AF25" s="3660"/>
      <c r="AG25" s="3672"/>
      <c r="AH25" s="3028">
        <f>ROUND(SUM(X25)-SUM(AD25),1)</f>
        <v>854.4</v>
      </c>
      <c r="AI25" s="3673"/>
      <c r="AJ25" s="3029">
        <f>ROUND(AH25/AD25,3)</f>
        <v>0.17100000000000001</v>
      </c>
      <c r="AK25" s="3674"/>
      <c r="AL25" s="3021"/>
    </row>
    <row r="26" spans="1:38" ht="18" customHeight="1">
      <c r="A26" s="2445"/>
      <c r="B26" s="2445"/>
      <c r="C26" s="2445"/>
      <c r="D26" s="2463"/>
      <c r="E26" s="993"/>
      <c r="F26" s="2464"/>
      <c r="G26" s="992"/>
      <c r="H26" s="2463"/>
      <c r="I26" s="1012"/>
      <c r="J26" s="2465"/>
      <c r="K26" s="992"/>
      <c r="L26" s="2463"/>
      <c r="M26" s="1012"/>
      <c r="N26" s="2465"/>
      <c r="O26" s="992"/>
      <c r="P26" s="2463"/>
      <c r="Q26" s="1012"/>
      <c r="R26" s="2465"/>
      <c r="S26" s="992"/>
      <c r="T26" s="2457"/>
      <c r="U26" s="2457"/>
      <c r="V26" s="2464"/>
      <c r="W26" s="993"/>
      <c r="X26" s="2464"/>
      <c r="Y26" s="993"/>
      <c r="Z26" s="2449"/>
      <c r="AA26" s="993"/>
      <c r="AB26" s="2463"/>
      <c r="AC26" s="1011"/>
      <c r="AD26" s="2463"/>
      <c r="AE26" s="1013"/>
      <c r="AF26" s="3660"/>
      <c r="AG26" s="1013"/>
      <c r="AH26" s="1013"/>
      <c r="AI26" s="1008"/>
      <c r="AJ26" s="3678"/>
      <c r="AK26" s="3679"/>
      <c r="AL26" s="2219"/>
    </row>
    <row r="27" spans="1:38" ht="18" customHeight="1">
      <c r="A27" s="2459" t="s">
        <v>1295</v>
      </c>
      <c r="B27" s="2445"/>
      <c r="C27" s="2224"/>
      <c r="D27" s="1011"/>
      <c r="E27" s="992"/>
      <c r="F27" s="992"/>
      <c r="G27" s="992"/>
      <c r="H27" s="1011"/>
      <c r="I27" s="1010"/>
      <c r="J27" s="1010"/>
      <c r="K27" s="992"/>
      <c r="L27" s="1011"/>
      <c r="M27" s="1010"/>
      <c r="N27" s="1010"/>
      <c r="O27" s="992"/>
      <c r="P27" s="1011"/>
      <c r="Q27" s="1010"/>
      <c r="R27" s="1010"/>
      <c r="S27" s="992"/>
      <c r="T27" s="2457"/>
      <c r="U27" s="2457"/>
      <c r="V27" s="993"/>
      <c r="W27" s="993"/>
      <c r="X27" s="992"/>
      <c r="Y27" s="992"/>
      <c r="Z27" s="2449"/>
      <c r="AA27" s="993"/>
      <c r="AB27" s="1011"/>
      <c r="AC27" s="1011"/>
      <c r="AD27" s="1011"/>
      <c r="AE27" s="1011"/>
      <c r="AF27" s="3660"/>
      <c r="AG27" s="1011"/>
      <c r="AH27" s="1011"/>
      <c r="AI27" s="3680"/>
      <c r="AJ27" s="3678"/>
      <c r="AK27" s="3679"/>
      <c r="AL27" s="2219"/>
    </row>
    <row r="28" spans="1:38" s="3006" customFormat="1" ht="18" customHeight="1">
      <c r="A28" s="2995" t="s">
        <v>998</v>
      </c>
      <c r="B28" s="2995"/>
      <c r="C28" s="2995"/>
      <c r="D28" s="1020">
        <f>'Exhibit F'!D30</f>
        <v>511.9</v>
      </c>
      <c r="E28" s="1019"/>
      <c r="F28" s="1020">
        <f>'Exhibit F'!AC30</f>
        <v>511.9</v>
      </c>
      <c r="G28" s="997"/>
      <c r="H28" s="1020">
        <f>'Exhibit G'!D21</f>
        <v>98.2</v>
      </c>
      <c r="I28" s="1019"/>
      <c r="J28" s="1020">
        <f>'Exhibit G'!AD21</f>
        <v>98.2</v>
      </c>
      <c r="K28" s="997"/>
      <c r="L28" s="2919">
        <f>'Exhibit H'!B19</f>
        <v>502.8</v>
      </c>
      <c r="M28" s="2915"/>
      <c r="N28" s="2919">
        <f>'Exhibit H'!AA19</f>
        <v>502.8</v>
      </c>
      <c r="O28" s="1019"/>
      <c r="P28" s="2917">
        <v>0</v>
      </c>
      <c r="Q28" s="2915"/>
      <c r="R28" s="2938">
        <v>0</v>
      </c>
      <c r="S28" s="997"/>
      <c r="T28" s="3023"/>
      <c r="U28" s="3023"/>
      <c r="V28" s="2916">
        <f t="shared" ref="V28:V35" si="1">SUM(D28)+SUM(H28)+SUM(L28)+SUM(P28)</f>
        <v>1112.9000000000001</v>
      </c>
      <c r="W28" s="996"/>
      <c r="X28" s="2916">
        <f t="shared" ref="X28:X35" si="2">SUM(F28)+SUM(J28)+SUM(N28)+SUM(R28)</f>
        <v>1112.9000000000001</v>
      </c>
      <c r="Y28" s="997"/>
      <c r="Z28" s="3011"/>
      <c r="AA28" s="996"/>
      <c r="AB28" s="2914">
        <v>1042.9000000000001</v>
      </c>
      <c r="AC28" s="1020"/>
      <c r="AD28" s="2919">
        <f>'Cashflow Governmental'!AE32</f>
        <v>1042.9000000000001</v>
      </c>
      <c r="AE28" s="2919"/>
      <c r="AF28" s="3660"/>
      <c r="AG28" s="1020"/>
      <c r="AH28" s="1020">
        <f t="shared" ref="AH28:AH36" si="3">ROUND(SUM(X28)-SUM(AD28),1)</f>
        <v>70</v>
      </c>
      <c r="AI28" s="3669"/>
      <c r="AJ28" s="3012">
        <f t="shared" ref="AJ28:AJ36" si="4">ROUND(AH28/AD28,3)</f>
        <v>6.7000000000000004E-2</v>
      </c>
      <c r="AK28" s="3012"/>
      <c r="AL28" s="3005"/>
    </row>
    <row r="29" spans="1:38" s="3006" customFormat="1" ht="18" customHeight="1">
      <c r="A29" s="3007" t="s">
        <v>999</v>
      </c>
      <c r="B29" s="2995"/>
      <c r="C29" s="3030"/>
      <c r="D29" s="1020">
        <f>'Exhibit F'!D31</f>
        <v>0</v>
      </c>
      <c r="E29" s="2916"/>
      <c r="F29" s="1020">
        <f>'Exhibit F'!AC31</f>
        <v>0</v>
      </c>
      <c r="G29" s="997"/>
      <c r="H29" s="1020">
        <f>'Exhibit G'!D22</f>
        <v>0.9</v>
      </c>
      <c r="I29" s="2915"/>
      <c r="J29" s="1020">
        <f>'Exhibit G'!AD22</f>
        <v>0.9</v>
      </c>
      <c r="K29" s="997"/>
      <c r="L29" s="2917">
        <v>0</v>
      </c>
      <c r="M29" s="2915"/>
      <c r="N29" s="2938">
        <v>0</v>
      </c>
      <c r="O29" s="1019"/>
      <c r="P29" s="2914">
        <f>'Exhibit I'!E20</f>
        <v>0.6</v>
      </c>
      <c r="Q29" s="1019"/>
      <c r="R29" s="2914">
        <f>'Exhibit I'!AF20</f>
        <v>0.6</v>
      </c>
      <c r="S29" s="997"/>
      <c r="T29" s="3023"/>
      <c r="U29" s="3023"/>
      <c r="V29" s="2916">
        <f t="shared" si="1"/>
        <v>1.5</v>
      </c>
      <c r="W29" s="996"/>
      <c r="X29" s="2916">
        <f t="shared" si="2"/>
        <v>1.5</v>
      </c>
      <c r="Y29" s="3010"/>
      <c r="Z29" s="3011"/>
      <c r="AA29" s="996"/>
      <c r="AB29" s="2914">
        <v>11.7</v>
      </c>
      <c r="AC29" s="1020"/>
      <c r="AD29" s="2919">
        <f>'Cashflow Governmental'!AE33</f>
        <v>11.7</v>
      </c>
      <c r="AE29" s="2919"/>
      <c r="AF29" s="3660"/>
      <c r="AG29" s="3668"/>
      <c r="AH29" s="2919">
        <f t="shared" si="3"/>
        <v>-10.199999999999999</v>
      </c>
      <c r="AI29" s="3681"/>
      <c r="AJ29" s="3012">
        <f t="shared" si="4"/>
        <v>-0.872</v>
      </c>
      <c r="AK29" s="3012"/>
      <c r="AL29" s="3005"/>
    </row>
    <row r="30" spans="1:38" ht="18" customHeight="1">
      <c r="A30" s="2445" t="s">
        <v>1000</v>
      </c>
      <c r="B30" s="2445"/>
      <c r="C30" s="2445"/>
      <c r="D30" s="1020">
        <f>'Exhibit F'!D32</f>
        <v>24.4</v>
      </c>
      <c r="E30" s="1019"/>
      <c r="F30" s="1020">
        <f>'Exhibit F'!AC32</f>
        <v>24.4</v>
      </c>
      <c r="G30" s="997"/>
      <c r="H30" s="1020">
        <f>'Exhibit G'!D23</f>
        <v>63.6</v>
      </c>
      <c r="I30" s="2915"/>
      <c r="J30" s="1020">
        <f>'Exhibit G'!AD23</f>
        <v>63.6</v>
      </c>
      <c r="K30" s="997"/>
      <c r="L30" s="2917">
        <v>0</v>
      </c>
      <c r="M30" s="2915"/>
      <c r="N30" s="2938">
        <v>0</v>
      </c>
      <c r="O30" s="1019"/>
      <c r="P30" s="2917">
        <v>0</v>
      </c>
      <c r="Q30" s="2915"/>
      <c r="R30" s="2938">
        <v>0</v>
      </c>
      <c r="S30" s="992"/>
      <c r="T30" s="2457"/>
      <c r="U30" s="2457"/>
      <c r="V30" s="2447">
        <f t="shared" si="1"/>
        <v>88</v>
      </c>
      <c r="W30" s="993"/>
      <c r="X30" s="2447">
        <f t="shared" si="2"/>
        <v>88</v>
      </c>
      <c r="Y30" s="2448"/>
      <c r="Z30" s="2449"/>
      <c r="AA30" s="993"/>
      <c r="AB30" s="2914">
        <v>87.699999999999989</v>
      </c>
      <c r="AC30" s="1020"/>
      <c r="AD30" s="2919">
        <f>'Cashflow Governmental'!AE34</f>
        <v>87.699999999999989</v>
      </c>
      <c r="AE30" s="3682"/>
      <c r="AF30" s="3683"/>
      <c r="AG30" s="3684"/>
      <c r="AH30" s="2450">
        <f t="shared" si="3"/>
        <v>0.3</v>
      </c>
      <c r="AI30" s="3685"/>
      <c r="AJ30" s="2451">
        <f t="shared" si="4"/>
        <v>3.0000000000000001E-3</v>
      </c>
      <c r="AK30" s="2451"/>
      <c r="AL30" s="2219"/>
    </row>
    <row r="31" spans="1:38" ht="18" customHeight="1">
      <c r="A31" s="2445" t="s">
        <v>1395</v>
      </c>
      <c r="B31" s="2445"/>
      <c r="C31" s="2445"/>
      <c r="D31" s="1020">
        <v>0</v>
      </c>
      <c r="E31" s="1019"/>
      <c r="F31" s="1020">
        <v>0</v>
      </c>
      <c r="G31" s="997"/>
      <c r="H31" s="1020">
        <f>'Exhibit G'!D24</f>
        <v>0.2</v>
      </c>
      <c r="I31" s="2915"/>
      <c r="J31" s="1020">
        <f>'Exhibit G'!AD24</f>
        <v>0.2</v>
      </c>
      <c r="K31" s="997"/>
      <c r="L31" s="2917">
        <v>0</v>
      </c>
      <c r="M31" s="2915"/>
      <c r="N31" s="2938">
        <v>0</v>
      </c>
      <c r="O31" s="1019"/>
      <c r="P31" s="2917">
        <v>0</v>
      </c>
      <c r="Q31" s="2915"/>
      <c r="R31" s="2938">
        <v>0</v>
      </c>
      <c r="S31" s="992"/>
      <c r="T31" s="2457"/>
      <c r="U31" s="2457"/>
      <c r="V31" s="2447">
        <f>SUM(D31)+SUM(H31)+SUM(L31)+SUM(P31)</f>
        <v>0.2</v>
      </c>
      <c r="W31" s="993"/>
      <c r="X31" s="2447">
        <f>SUM(F31)+SUM(J31)+SUM(N31)+SUM(R31)</f>
        <v>0.2</v>
      </c>
      <c r="Y31" s="2448"/>
      <c r="Z31" s="2449"/>
      <c r="AA31" s="993"/>
      <c r="AB31" s="2914">
        <v>0.1</v>
      </c>
      <c r="AC31" s="1020"/>
      <c r="AD31" s="2919">
        <f>'Cashflow Governmental'!AE35</f>
        <v>0.1</v>
      </c>
      <c r="AE31" s="3682"/>
      <c r="AF31" s="3683"/>
      <c r="AG31" s="3684"/>
      <c r="AH31" s="2450">
        <f>ROUND(SUM(X31)-SUM(AD31),1)</f>
        <v>0.1</v>
      </c>
      <c r="AI31" s="3685"/>
      <c r="AJ31" s="2324">
        <f>ROUND(IF(AD31=0,0,AH31/(AD31)),3)</f>
        <v>1</v>
      </c>
      <c r="AK31" s="2451"/>
      <c r="AL31" s="2219"/>
    </row>
    <row r="32" spans="1:38" ht="18" customHeight="1">
      <c r="A32" s="2445" t="s">
        <v>1001</v>
      </c>
      <c r="B32" s="2445"/>
      <c r="C32" s="2445"/>
      <c r="D32" s="1020">
        <f>'Exhibit F'!D33</f>
        <v>0</v>
      </c>
      <c r="E32" s="2916"/>
      <c r="F32" s="1020">
        <f>'Exhibit F'!AC33</f>
        <v>0</v>
      </c>
      <c r="G32" s="997"/>
      <c r="H32" s="1020">
        <f>'Exhibit G'!D25</f>
        <v>7.9</v>
      </c>
      <c r="I32" s="2915"/>
      <c r="J32" s="1020">
        <f>'Exhibit G'!AD25</f>
        <v>7.9</v>
      </c>
      <c r="K32" s="997"/>
      <c r="L32" s="2917">
        <v>0</v>
      </c>
      <c r="M32" s="2915"/>
      <c r="N32" s="2938">
        <v>0</v>
      </c>
      <c r="O32" s="1019"/>
      <c r="P32" s="1020">
        <f>'Exhibit I'!E21</f>
        <v>31</v>
      </c>
      <c r="Q32" s="2915"/>
      <c r="R32" s="1020">
        <f>'Exhibit I'!AF21</f>
        <v>31</v>
      </c>
      <c r="S32" s="992"/>
      <c r="T32" s="2457"/>
      <c r="U32" s="2457"/>
      <c r="V32" s="2447">
        <f t="shared" si="1"/>
        <v>38.9</v>
      </c>
      <c r="W32" s="993"/>
      <c r="X32" s="2447">
        <f t="shared" si="2"/>
        <v>38.9</v>
      </c>
      <c r="Y32" s="992"/>
      <c r="Z32" s="2449"/>
      <c r="AA32" s="993"/>
      <c r="AB32" s="2914">
        <v>41.4</v>
      </c>
      <c r="AC32" s="1020"/>
      <c r="AD32" s="2919">
        <f>'Cashflow Governmental'!AE36</f>
        <v>41.4</v>
      </c>
      <c r="AE32" s="2450"/>
      <c r="AF32" s="3683"/>
      <c r="AG32" s="1011"/>
      <c r="AH32" s="2450">
        <f t="shared" si="3"/>
        <v>-2.5</v>
      </c>
      <c r="AI32" s="3680"/>
      <c r="AJ32" s="2451">
        <f t="shared" si="4"/>
        <v>-0.06</v>
      </c>
      <c r="AK32" s="2451"/>
      <c r="AL32" s="2219"/>
    </row>
    <row r="33" spans="1:38" ht="18" customHeight="1">
      <c r="A33" s="2445" t="s">
        <v>1002</v>
      </c>
      <c r="B33" s="2445"/>
      <c r="C33" s="2445"/>
      <c r="D33" s="1020">
        <f>'Exhibit F'!D34</f>
        <v>7.5</v>
      </c>
      <c r="E33" s="1019"/>
      <c r="F33" s="1020">
        <f>'Exhibit F'!AC34</f>
        <v>7.5</v>
      </c>
      <c r="G33" s="997"/>
      <c r="H33" s="1020">
        <f>'Exhibit G'!D26</f>
        <v>0</v>
      </c>
      <c r="I33" s="2915"/>
      <c r="J33" s="1020">
        <f>'Exhibit G'!AD26</f>
        <v>0</v>
      </c>
      <c r="K33" s="997"/>
      <c r="L33" s="2917">
        <v>0</v>
      </c>
      <c r="M33" s="2915"/>
      <c r="N33" s="2938">
        <v>0</v>
      </c>
      <c r="O33" s="1019"/>
      <c r="P33" s="2917">
        <v>0</v>
      </c>
      <c r="Q33" s="2915"/>
      <c r="R33" s="2938">
        <v>0</v>
      </c>
      <c r="S33" s="992"/>
      <c r="T33" s="2457"/>
      <c r="U33" s="2457"/>
      <c r="V33" s="2447">
        <f t="shared" si="1"/>
        <v>7.5</v>
      </c>
      <c r="W33" s="993"/>
      <c r="X33" s="2447">
        <f t="shared" si="2"/>
        <v>7.5</v>
      </c>
      <c r="Y33" s="2448"/>
      <c r="Z33" s="2449"/>
      <c r="AA33" s="993"/>
      <c r="AB33" s="2914">
        <v>21</v>
      </c>
      <c r="AC33" s="1020"/>
      <c r="AD33" s="2919">
        <f>'Cashflow Governmental'!AE37</f>
        <v>21</v>
      </c>
      <c r="AE33" s="2450"/>
      <c r="AF33" s="3683"/>
      <c r="AG33" s="3684"/>
      <c r="AH33" s="2450">
        <f t="shared" si="3"/>
        <v>-13.5</v>
      </c>
      <c r="AI33" s="3685"/>
      <c r="AJ33" s="2451">
        <f t="shared" si="4"/>
        <v>-0.64300000000000002</v>
      </c>
      <c r="AK33" s="2451"/>
      <c r="AL33" s="2219"/>
    </row>
    <row r="34" spans="1:38" ht="18" customHeight="1">
      <c r="A34" s="2445" t="s">
        <v>1003</v>
      </c>
      <c r="B34" s="2445"/>
      <c r="C34" s="2445"/>
      <c r="D34" s="1020">
        <f>'Exhibit F'!D35</f>
        <v>0</v>
      </c>
      <c r="E34" s="2916"/>
      <c r="F34" s="1020">
        <f>'Exhibit F'!AC35</f>
        <v>0</v>
      </c>
      <c r="G34" s="997"/>
      <c r="H34" s="1020">
        <f>'Exhibit G'!D27</f>
        <v>2.8</v>
      </c>
      <c r="I34" s="2915"/>
      <c r="J34" s="1020">
        <f>'Exhibit G'!AD27</f>
        <v>2.8</v>
      </c>
      <c r="K34" s="997"/>
      <c r="L34" s="2917">
        <v>0</v>
      </c>
      <c r="M34" s="2915"/>
      <c r="N34" s="2938">
        <v>0</v>
      </c>
      <c r="O34" s="997"/>
      <c r="P34" s="1020">
        <f>'Exhibit I'!E22</f>
        <v>12.8</v>
      </c>
      <c r="Q34" s="2915"/>
      <c r="R34" s="1020">
        <f>'Exhibit I'!AF22</f>
        <v>12.8</v>
      </c>
      <c r="S34" s="992"/>
      <c r="T34" s="2457"/>
      <c r="U34" s="2457"/>
      <c r="V34" s="2447">
        <f>SUM(D34)+SUM(H34)+SUM(L34)+SUM(P34)</f>
        <v>15.600000000000001</v>
      </c>
      <c r="W34" s="993"/>
      <c r="X34" s="2447">
        <f t="shared" si="2"/>
        <v>15.600000000000001</v>
      </c>
      <c r="Y34" s="2448"/>
      <c r="Z34" s="2449"/>
      <c r="AA34" s="993"/>
      <c r="AB34" s="2914">
        <v>11.6</v>
      </c>
      <c r="AC34" s="1020"/>
      <c r="AD34" s="2919">
        <f>'Cashflow Governmental'!AE38</f>
        <v>11.6</v>
      </c>
      <c r="AE34" s="3682"/>
      <c r="AF34" s="3683"/>
      <c r="AG34" s="3684"/>
      <c r="AH34" s="2225">
        <f t="shared" si="3"/>
        <v>4</v>
      </c>
      <c r="AI34" s="3686"/>
      <c r="AJ34" s="2451">
        <f t="shared" si="4"/>
        <v>0.34499999999999997</v>
      </c>
      <c r="AK34" s="2451"/>
      <c r="AL34" s="2219"/>
    </row>
    <row r="35" spans="1:38" ht="18" customHeight="1">
      <c r="A35" s="2446" t="s">
        <v>1004</v>
      </c>
      <c r="B35" s="2445"/>
      <c r="C35" s="2445"/>
      <c r="D35" s="1020">
        <f>'Exhibit F'!D36</f>
        <v>0</v>
      </c>
      <c r="E35" s="1018"/>
      <c r="F35" s="1020">
        <f>'Exhibit F'!AC36</f>
        <v>0</v>
      </c>
      <c r="G35" s="997"/>
      <c r="H35" s="1020">
        <f>'Exhibit G'!D28</f>
        <v>12.8</v>
      </c>
      <c r="I35" s="2915"/>
      <c r="J35" s="1020">
        <f>'Exhibit G'!AD28</f>
        <v>12.8</v>
      </c>
      <c r="K35" s="997"/>
      <c r="L35" s="2917">
        <v>0</v>
      </c>
      <c r="M35" s="2915"/>
      <c r="N35" s="2938">
        <v>0</v>
      </c>
      <c r="O35" s="997"/>
      <c r="P35" s="2917">
        <v>0</v>
      </c>
      <c r="Q35" s="1018"/>
      <c r="R35" s="2938">
        <v>0</v>
      </c>
      <c r="S35" s="992"/>
      <c r="T35" s="2457"/>
      <c r="U35" s="2457"/>
      <c r="V35" s="2447">
        <f t="shared" si="1"/>
        <v>12.8</v>
      </c>
      <c r="W35" s="993"/>
      <c r="X35" s="2447">
        <f t="shared" si="2"/>
        <v>12.8</v>
      </c>
      <c r="Y35" s="2531"/>
      <c r="Z35" s="2449"/>
      <c r="AA35" s="993"/>
      <c r="AB35" s="2914">
        <v>13.4</v>
      </c>
      <c r="AC35" s="1020"/>
      <c r="AD35" s="2919">
        <f>'Cashflow Governmental'!AE39</f>
        <v>13.4</v>
      </c>
      <c r="AE35" s="3682"/>
      <c r="AF35" s="3683"/>
      <c r="AG35" s="3684"/>
      <c r="AH35" s="2452">
        <f t="shared" si="3"/>
        <v>-0.6</v>
      </c>
      <c r="AI35" s="3685"/>
      <c r="AJ35" s="2458">
        <f t="shared" si="4"/>
        <v>-4.4999999999999998E-2</v>
      </c>
      <c r="AK35" s="2451"/>
      <c r="AL35" s="2219"/>
    </row>
    <row r="36" spans="1:38" ht="18" customHeight="1">
      <c r="A36" s="2444" t="s">
        <v>1005</v>
      </c>
      <c r="B36" s="2445"/>
      <c r="C36" s="2445"/>
      <c r="D36" s="2460">
        <f>ROUND(SUM(D28:D35),1)</f>
        <v>543.79999999999995</v>
      </c>
      <c r="E36" s="181"/>
      <c r="F36" s="2612">
        <f>ROUND(SUM(F28:F35),1)</f>
        <v>543.79999999999995</v>
      </c>
      <c r="G36" s="195"/>
      <c r="H36" s="2460">
        <f>ROUND(SUM(H28:H35),1)</f>
        <v>186.4</v>
      </c>
      <c r="I36" s="65"/>
      <c r="J36" s="2460">
        <f>ROUND(SUM(J28:J35),1)</f>
        <v>186.4</v>
      </c>
      <c r="K36" s="179"/>
      <c r="L36" s="2943">
        <f>ROUND(SUM(L28:L35),1)</f>
        <v>502.8</v>
      </c>
      <c r="M36" s="67"/>
      <c r="N36" s="2943">
        <f>ROUND(SUM(N28:N35),1)</f>
        <v>502.8</v>
      </c>
      <c r="O36" s="179"/>
      <c r="P36" s="2460">
        <f>ROUND(SUM(P28:P35),1)</f>
        <v>44.4</v>
      </c>
      <c r="Q36" s="65"/>
      <c r="R36" s="2612">
        <f>ROUND(SUM(R28:R35),1)</f>
        <v>44.4</v>
      </c>
      <c r="S36" s="179"/>
      <c r="T36" s="2454"/>
      <c r="U36" s="2454"/>
      <c r="V36" s="2466">
        <f>ROUND(SUM(V28:V35),1)</f>
        <v>1277.4000000000001</v>
      </c>
      <c r="W36" s="181"/>
      <c r="X36" s="2466">
        <f>ROUND(SUM(X28:X35),1)</f>
        <v>1277.4000000000001</v>
      </c>
      <c r="Y36" s="2532"/>
      <c r="Z36" s="2456"/>
      <c r="AA36" s="181"/>
      <c r="AB36" s="2460">
        <f>ROUND(SUM(AB28:AB35),1)</f>
        <v>1229.8</v>
      </c>
      <c r="AC36" s="2226"/>
      <c r="AD36" s="2460">
        <f>ROUND(SUM(AD28:AD35),1)</f>
        <v>1229.8</v>
      </c>
      <c r="AE36" s="3687"/>
      <c r="AF36" s="3688"/>
      <c r="AG36" s="3687"/>
      <c r="AH36" s="2461">
        <f t="shared" si="3"/>
        <v>47.6</v>
      </c>
      <c r="AI36" s="3689"/>
      <c r="AJ36" s="2462">
        <f t="shared" si="4"/>
        <v>3.9E-2</v>
      </c>
      <c r="AK36" s="3690"/>
      <c r="AL36" s="2227"/>
    </row>
    <row r="37" spans="1:38" ht="18" customHeight="1">
      <c r="A37" s="2445"/>
      <c r="B37" s="2445"/>
      <c r="C37" s="2445"/>
      <c r="D37" s="2463"/>
      <c r="E37" s="993"/>
      <c r="F37" s="2464"/>
      <c r="G37" s="997"/>
      <c r="H37" s="2463"/>
      <c r="I37" s="1012"/>
      <c r="J37" s="2465"/>
      <c r="K37" s="992"/>
      <c r="L37" s="2944"/>
      <c r="M37" s="1018"/>
      <c r="N37" s="2945"/>
      <c r="O37" s="992"/>
      <c r="P37" s="2463"/>
      <c r="Q37" s="1012"/>
      <c r="R37" s="2465"/>
      <c r="S37" s="992"/>
      <c r="T37" s="2457"/>
      <c r="U37" s="2457"/>
      <c r="V37" s="2464"/>
      <c r="W37" s="993"/>
      <c r="X37" s="2464"/>
      <c r="Y37" s="993"/>
      <c r="Z37" s="2449"/>
      <c r="AA37" s="993"/>
      <c r="AB37" s="2463"/>
      <c r="AC37" s="1011"/>
      <c r="AD37" s="2463"/>
      <c r="AE37" s="1013"/>
      <c r="AF37" s="3683"/>
      <c r="AG37" s="1013"/>
      <c r="AH37" s="1013"/>
      <c r="AI37" s="1008"/>
      <c r="AJ37" s="3678"/>
      <c r="AK37" s="3679"/>
      <c r="AL37" s="2219"/>
    </row>
    <row r="38" spans="1:38" ht="18" customHeight="1">
      <c r="A38" s="2444" t="s">
        <v>1296</v>
      </c>
      <c r="B38" s="2445"/>
      <c r="C38" s="2445"/>
      <c r="D38" s="1011"/>
      <c r="E38" s="992"/>
      <c r="F38" s="992"/>
      <c r="G38" s="997"/>
      <c r="H38" s="1011"/>
      <c r="I38" s="1010"/>
      <c r="J38" s="1010"/>
      <c r="K38" s="992"/>
      <c r="L38" s="1020"/>
      <c r="M38" s="1019"/>
      <c r="N38" s="1019"/>
      <c r="O38" s="992"/>
      <c r="P38" s="1011"/>
      <c r="Q38" s="1010"/>
      <c r="R38" s="1010"/>
      <c r="S38" s="992"/>
      <c r="T38" s="2457"/>
      <c r="U38" s="2457"/>
      <c r="V38" s="993"/>
      <c r="W38" s="993"/>
      <c r="X38" s="992"/>
      <c r="Y38" s="992"/>
      <c r="Z38" s="2449"/>
      <c r="AA38" s="993"/>
      <c r="AB38" s="2305"/>
      <c r="AC38" s="1011"/>
      <c r="AD38" s="2305"/>
      <c r="AE38" s="1011"/>
      <c r="AF38" s="3683"/>
      <c r="AG38" s="1011"/>
      <c r="AH38" s="1011"/>
      <c r="AI38" s="3680"/>
      <c r="AJ38" s="2451"/>
      <c r="AK38" s="3679"/>
      <c r="AL38" s="2219"/>
    </row>
    <row r="39" spans="1:38" ht="18" customHeight="1">
      <c r="A39" s="2445" t="s">
        <v>1006</v>
      </c>
      <c r="B39" s="2445"/>
      <c r="C39" s="2445"/>
      <c r="D39" s="1020">
        <f>'Exhibit F'!D39</f>
        <v>334.3</v>
      </c>
      <c r="E39" s="1019"/>
      <c r="F39" s="1020">
        <f>'Exhibit F'!AC39</f>
        <v>334.3</v>
      </c>
      <c r="G39" s="997"/>
      <c r="H39" s="1020">
        <f>'Exhibit G'!D31</f>
        <v>120.8</v>
      </c>
      <c r="I39" s="1019"/>
      <c r="J39" s="1020">
        <f>'Exhibit G'!AD31</f>
        <v>120.8</v>
      </c>
      <c r="K39" s="1019"/>
      <c r="L39" s="2917">
        <v>0</v>
      </c>
      <c r="M39" s="2915"/>
      <c r="N39" s="2938">
        <v>0</v>
      </c>
      <c r="O39" s="1019"/>
      <c r="P39" s="2917">
        <f>'Exhibit I'!E25</f>
        <v>0</v>
      </c>
      <c r="Q39" s="2915"/>
      <c r="R39" s="2917">
        <f>'Exhibit I'!AF25</f>
        <v>0</v>
      </c>
      <c r="S39" s="992"/>
      <c r="T39" s="2457"/>
      <c r="U39" s="2457"/>
      <c r="V39" s="2447">
        <f>SUM(D39)+SUM(H39)+SUM(L39)+SUM(P39)</f>
        <v>455.1</v>
      </c>
      <c r="W39" s="993"/>
      <c r="X39" s="2447">
        <f>SUM(F39)+SUM(J39)+SUM(N39)+SUM(R39)</f>
        <v>455.1</v>
      </c>
      <c r="Y39" s="992"/>
      <c r="Z39" s="2449"/>
      <c r="AA39" s="993"/>
      <c r="AB39" s="2914">
        <v>430.1</v>
      </c>
      <c r="AC39" s="1020"/>
      <c r="AD39" s="2948">
        <f>'Cashflow Governmental'!AE42</f>
        <v>430.09999999999997</v>
      </c>
      <c r="AE39" s="2450"/>
      <c r="AF39" s="3683"/>
      <c r="AG39" s="1011"/>
      <c r="AH39" s="2450">
        <f t="shared" ref="AH39:AH44" si="5">ROUND(SUM(X39)-SUM(AD39),1)</f>
        <v>25</v>
      </c>
      <c r="AI39" s="3685"/>
      <c r="AJ39" s="2451">
        <f t="shared" ref="AJ39:AJ44" si="6">ROUND(AH39/AD39,3)</f>
        <v>5.8000000000000003E-2</v>
      </c>
      <c r="AK39" s="2451"/>
      <c r="AL39" s="2219"/>
    </row>
    <row r="40" spans="1:38" ht="18" customHeight="1">
      <c r="A40" s="2445" t="s">
        <v>1007</v>
      </c>
      <c r="B40" s="2445"/>
      <c r="C40" s="2445"/>
      <c r="D40" s="1020">
        <f>'Exhibit F'!D40</f>
        <v>-0.3</v>
      </c>
      <c r="E40" s="1019"/>
      <c r="F40" s="1020">
        <f>'Exhibit F'!AC40</f>
        <v>-0.3</v>
      </c>
      <c r="G40" s="997"/>
      <c r="H40" s="2949">
        <f>'Exhibit G'!D32</f>
        <v>23.6</v>
      </c>
      <c r="I40" s="1019"/>
      <c r="J40" s="2949">
        <f>'Exhibit G'!AD32</f>
        <v>23.6</v>
      </c>
      <c r="K40" s="1019"/>
      <c r="L40" s="2917">
        <v>0</v>
      </c>
      <c r="M40" s="2915"/>
      <c r="N40" s="2938">
        <v>0</v>
      </c>
      <c r="O40" s="1019"/>
      <c r="P40" s="1020">
        <f>'Exhibit I'!E26</f>
        <v>3.1</v>
      </c>
      <c r="Q40" s="2915"/>
      <c r="R40" s="1020">
        <f>'Exhibit I'!AF26</f>
        <v>3.1</v>
      </c>
      <c r="S40" s="992"/>
      <c r="T40" s="2457"/>
      <c r="U40" s="2457"/>
      <c r="V40" s="2447">
        <f>SUM(D40)+SUM(H40)+SUM(L40)+SUM(P40)</f>
        <v>26.400000000000002</v>
      </c>
      <c r="W40" s="993"/>
      <c r="X40" s="2447">
        <f>SUM(F40)+SUM(J40)+SUM(N40)+SUM(R40)</f>
        <v>26.400000000000002</v>
      </c>
      <c r="Y40" s="992"/>
      <c r="Z40" s="2449"/>
      <c r="AA40" s="993"/>
      <c r="AB40" s="2914">
        <v>40.6</v>
      </c>
      <c r="AC40" s="1020"/>
      <c r="AD40" s="2948">
        <f>'Cashflow Governmental'!AE43</f>
        <v>40.6</v>
      </c>
      <c r="AE40" s="2450"/>
      <c r="AF40" s="3683"/>
      <c r="AG40" s="1011"/>
      <c r="AH40" s="2450">
        <f t="shared" si="5"/>
        <v>-14.2</v>
      </c>
      <c r="AI40" s="3685"/>
      <c r="AJ40" s="2451">
        <f t="shared" si="6"/>
        <v>-0.35</v>
      </c>
      <c r="AK40" s="2451"/>
      <c r="AL40" s="2219"/>
    </row>
    <row r="41" spans="1:38" ht="18" customHeight="1">
      <c r="A41" s="2445" t="s">
        <v>1008</v>
      </c>
      <c r="B41" s="2445"/>
      <c r="C41" s="2445"/>
      <c r="D41" s="1020">
        <f>'Exhibit F'!D41</f>
        <v>41.4</v>
      </c>
      <c r="E41" s="1019"/>
      <c r="F41" s="1020">
        <f>'Exhibit F'!AC41</f>
        <v>41.4</v>
      </c>
      <c r="G41" s="997"/>
      <c r="H41" s="1020">
        <f>'Exhibit G'!D33</f>
        <v>4.8</v>
      </c>
      <c r="I41" s="1019"/>
      <c r="J41" s="1020">
        <f>'Exhibit G'!AD33</f>
        <v>4.8</v>
      </c>
      <c r="K41" s="1019"/>
      <c r="L41" s="2917">
        <v>0</v>
      </c>
      <c r="M41" s="2915"/>
      <c r="N41" s="2938">
        <v>0</v>
      </c>
      <c r="O41" s="1019"/>
      <c r="P41" s="2917">
        <v>0</v>
      </c>
      <c r="Q41" s="2915"/>
      <c r="R41" s="2917">
        <v>0</v>
      </c>
      <c r="S41" s="992"/>
      <c r="T41" s="2457"/>
      <c r="U41" s="2457"/>
      <c r="V41" s="2447">
        <f>SUM(D41)+SUM(H41)+SUM(L41)+SUM(P41)</f>
        <v>46.199999999999996</v>
      </c>
      <c r="W41" s="993"/>
      <c r="X41" s="2447">
        <f>SUM(F41)+SUM(J41)+SUM(N41)+SUM(R41)</f>
        <v>46.199999999999996</v>
      </c>
      <c r="Y41" s="992"/>
      <c r="Z41" s="2449"/>
      <c r="AA41" s="993"/>
      <c r="AB41" s="2914">
        <v>45.5</v>
      </c>
      <c r="AC41" s="1020"/>
      <c r="AD41" s="2948">
        <f>'Cashflow Governmental'!AE44</f>
        <v>45.5</v>
      </c>
      <c r="AE41" s="2450"/>
      <c r="AF41" s="3683"/>
      <c r="AG41" s="1011"/>
      <c r="AH41" s="2450">
        <f t="shared" si="5"/>
        <v>0.7</v>
      </c>
      <c r="AI41" s="3685"/>
      <c r="AJ41" s="2451">
        <f t="shared" si="6"/>
        <v>1.4999999999999999E-2</v>
      </c>
      <c r="AK41" s="2451"/>
      <c r="AL41" s="2219"/>
    </row>
    <row r="42" spans="1:38" ht="18" customHeight="1">
      <c r="A42" s="2445" t="s">
        <v>1009</v>
      </c>
      <c r="B42" s="2445"/>
      <c r="C42" s="2445"/>
      <c r="D42" s="1020">
        <f>'Exhibit F'!D42</f>
        <v>-29.9</v>
      </c>
      <c r="E42" s="1019"/>
      <c r="F42" s="1020">
        <f>'Exhibit F'!AC42</f>
        <v>-29.9</v>
      </c>
      <c r="G42" s="997"/>
      <c r="H42" s="1020">
        <f>'Exhibit G'!D34</f>
        <v>-2.6999999999999997</v>
      </c>
      <c r="I42" s="1019"/>
      <c r="J42" s="1020">
        <f>'Exhibit G'!AD34</f>
        <v>-2.7</v>
      </c>
      <c r="K42" s="1019"/>
      <c r="L42" s="2917">
        <v>0</v>
      </c>
      <c r="M42" s="2915"/>
      <c r="N42" s="2938">
        <v>0</v>
      </c>
      <c r="O42" s="1019"/>
      <c r="P42" s="2917">
        <v>0</v>
      </c>
      <c r="Q42" s="2915"/>
      <c r="R42" s="2917">
        <v>0</v>
      </c>
      <c r="S42" s="992"/>
      <c r="T42" s="2457"/>
      <c r="U42" s="2457"/>
      <c r="V42" s="2447">
        <f>SUM(D42)+SUM(H42)+SUM(L42)+SUM(P42)</f>
        <v>-32.6</v>
      </c>
      <c r="W42" s="993"/>
      <c r="X42" s="2447">
        <f>SUM(F42)+SUM(J42)+SUM(N42)+SUM(R42)</f>
        <v>-32.6</v>
      </c>
      <c r="Y42" s="992"/>
      <c r="Z42" s="2449"/>
      <c r="AA42" s="993"/>
      <c r="AB42" s="2914">
        <v>4.3</v>
      </c>
      <c r="AC42" s="1020"/>
      <c r="AD42" s="2948">
        <f>'Cashflow Governmental'!AE45</f>
        <v>4.3</v>
      </c>
      <c r="AE42" s="2450"/>
      <c r="AF42" s="3683"/>
      <c r="AG42" s="1011"/>
      <c r="AH42" s="2450">
        <f t="shared" si="5"/>
        <v>-36.9</v>
      </c>
      <c r="AI42" s="3685"/>
      <c r="AJ42" s="2451">
        <f t="shared" si="6"/>
        <v>-8.5809999999999995</v>
      </c>
      <c r="AK42" s="2451"/>
      <c r="AL42" s="2219"/>
    </row>
    <row r="43" spans="1:38" ht="18" customHeight="1">
      <c r="A43" s="2445" t="s">
        <v>1010</v>
      </c>
      <c r="B43" s="2445"/>
      <c r="C43" s="2445"/>
      <c r="D43" s="1020">
        <f>'Exhibit F'!D43</f>
        <v>0</v>
      </c>
      <c r="E43" s="2916"/>
      <c r="F43" s="1020">
        <f>'Exhibit F'!AC43</f>
        <v>0</v>
      </c>
      <c r="G43" s="997"/>
      <c r="H43" s="1020">
        <f>'Exhibit G'!D35</f>
        <v>25.5</v>
      </c>
      <c r="I43" s="2915"/>
      <c r="J43" s="1020">
        <f>'Exhibit G'!AD35</f>
        <v>25.5</v>
      </c>
      <c r="K43" s="1019"/>
      <c r="L43" s="2917">
        <v>0</v>
      </c>
      <c r="M43" s="2915"/>
      <c r="N43" s="2938">
        <v>0</v>
      </c>
      <c r="O43" s="1019"/>
      <c r="P43" s="1020">
        <f>'Exhibit I'!E27</f>
        <v>64.5</v>
      </c>
      <c r="Q43" s="2915"/>
      <c r="R43" s="1020">
        <f>'Exhibit I'!AF27</f>
        <v>64.5</v>
      </c>
      <c r="S43" s="992"/>
      <c r="T43" s="2457"/>
      <c r="U43" s="2457"/>
      <c r="V43" s="2447">
        <f>SUM(D43)+SUM(H43)+SUM(L43)+SUM(P43)</f>
        <v>90</v>
      </c>
      <c r="W43" s="993"/>
      <c r="X43" s="2447">
        <f>SUM(F43)+SUM(J43)+SUM(N43)+SUM(R43)</f>
        <v>90</v>
      </c>
      <c r="Y43" s="992"/>
      <c r="Z43" s="2449"/>
      <c r="AA43" s="993"/>
      <c r="AB43" s="2914">
        <v>82.7</v>
      </c>
      <c r="AC43" s="1020"/>
      <c r="AD43" s="2948">
        <f>'Cashflow Governmental'!AE46</f>
        <v>82.699999999999989</v>
      </c>
      <c r="AE43" s="2450"/>
      <c r="AF43" s="3683"/>
      <c r="AG43" s="1011"/>
      <c r="AH43" s="2450">
        <f t="shared" si="5"/>
        <v>7.3</v>
      </c>
      <c r="AI43" s="3686"/>
      <c r="AJ43" s="2451">
        <f t="shared" si="6"/>
        <v>8.7999999999999995E-2</v>
      </c>
      <c r="AK43" s="2451"/>
      <c r="AL43" s="2219"/>
    </row>
    <row r="44" spans="1:38" ht="18" customHeight="1">
      <c r="A44" s="2444" t="s">
        <v>1005</v>
      </c>
      <c r="B44" s="2445"/>
      <c r="C44" s="2445"/>
      <c r="D44" s="2460">
        <f>ROUND(SUM(D39:D43),1)</f>
        <v>345.5</v>
      </c>
      <c r="E44" s="181"/>
      <c r="F44" s="2612">
        <f>ROUND(SUM(F39:F43),1)</f>
        <v>345.5</v>
      </c>
      <c r="G44" s="179"/>
      <c r="H44" s="2460">
        <f>ROUND(SUM(H39:H43),1)</f>
        <v>172</v>
      </c>
      <c r="I44" s="65"/>
      <c r="J44" s="2612">
        <f>ROUND(SUM(J39:J43),1)</f>
        <v>172</v>
      </c>
      <c r="K44" s="179"/>
      <c r="L44" s="2946">
        <f>ROUND(SUM(L39:L43),1)</f>
        <v>0</v>
      </c>
      <c r="M44" s="2940"/>
      <c r="N44" s="2947">
        <f>ROUND(SUM(N39:N43),1)</f>
        <v>0</v>
      </c>
      <c r="O44" s="179"/>
      <c r="P44" s="2460">
        <f>ROUND(SUM(P39:P43),1)</f>
        <v>67.599999999999994</v>
      </c>
      <c r="Q44" s="65"/>
      <c r="R44" s="2612">
        <f>ROUND(SUM(R39:R43),1)</f>
        <v>67.599999999999994</v>
      </c>
      <c r="S44" s="179"/>
      <c r="T44" s="2454"/>
      <c r="U44" s="2454"/>
      <c r="V44" s="2466">
        <f>ROUND(SUM(V39:V43),1)</f>
        <v>585.1</v>
      </c>
      <c r="W44" s="181"/>
      <c r="X44" s="2466">
        <f>ROUND(SUM(X39:X43),1)</f>
        <v>585.1</v>
      </c>
      <c r="Y44" s="2532"/>
      <c r="Z44" s="2456"/>
      <c r="AA44" s="181"/>
      <c r="AB44" s="2460">
        <f>ROUND(SUM(AB39:AB43),1)</f>
        <v>603.20000000000005</v>
      </c>
      <c r="AC44" s="2226"/>
      <c r="AD44" s="2460">
        <f>ROUND(SUM(AD39:AD43),1)</f>
        <v>603.20000000000005</v>
      </c>
      <c r="AE44" s="3687"/>
      <c r="AF44" s="3688"/>
      <c r="AG44" s="3687"/>
      <c r="AH44" s="2467">
        <f t="shared" si="5"/>
        <v>-18.100000000000001</v>
      </c>
      <c r="AI44" s="3689"/>
      <c r="AJ44" s="2462">
        <f t="shared" si="6"/>
        <v>-0.03</v>
      </c>
      <c r="AK44" s="3690"/>
      <c r="AL44" s="2227"/>
    </row>
    <row r="45" spans="1:38" ht="18" customHeight="1">
      <c r="A45" s="2445"/>
      <c r="B45" s="2445"/>
      <c r="C45" s="2445"/>
      <c r="D45" s="2463"/>
      <c r="E45" s="993"/>
      <c r="F45" s="2464"/>
      <c r="G45" s="992"/>
      <c r="H45" s="2463"/>
      <c r="I45" s="1012"/>
      <c r="J45" s="2465"/>
      <c r="K45" s="992"/>
      <c r="L45" s="2944"/>
      <c r="M45" s="1018"/>
      <c r="N45" s="2945"/>
      <c r="O45" s="992"/>
      <c r="P45" s="2463"/>
      <c r="Q45" s="1012"/>
      <c r="R45" s="2465"/>
      <c r="S45" s="992"/>
      <c r="T45" s="2457"/>
      <c r="U45" s="2457"/>
      <c r="V45" s="2464"/>
      <c r="W45" s="993"/>
      <c r="X45" s="2464"/>
      <c r="Y45" s="993"/>
      <c r="Z45" s="2449"/>
      <c r="AA45" s="993"/>
      <c r="AB45" s="2463"/>
      <c r="AC45" s="1011"/>
      <c r="AD45" s="2463"/>
      <c r="AE45" s="1013"/>
      <c r="AF45" s="3683"/>
      <c r="AG45" s="1013"/>
      <c r="AH45" s="1013"/>
      <c r="AI45" s="1008"/>
      <c r="AJ45" s="3678"/>
      <c r="AK45" s="3679"/>
      <c r="AL45" s="2219"/>
    </row>
    <row r="46" spans="1:38" ht="18" customHeight="1">
      <c r="A46" s="2459" t="s">
        <v>1297</v>
      </c>
      <c r="B46" s="2445"/>
      <c r="C46" s="2445"/>
      <c r="D46" s="1011"/>
      <c r="E46" s="992"/>
      <c r="F46" s="992"/>
      <c r="G46" s="997"/>
      <c r="H46" s="1011"/>
      <c r="I46" s="1010"/>
      <c r="J46" s="1010"/>
      <c r="K46" s="992"/>
      <c r="L46" s="1020"/>
      <c r="M46" s="1019"/>
      <c r="N46" s="1019"/>
      <c r="O46" s="992"/>
      <c r="P46" s="1011"/>
      <c r="Q46" s="1010"/>
      <c r="R46" s="1010"/>
      <c r="S46" s="992"/>
      <c r="T46" s="2457"/>
      <c r="U46" s="2457"/>
      <c r="V46" s="993"/>
      <c r="W46" s="993"/>
      <c r="X46" s="992"/>
      <c r="Y46" s="992"/>
      <c r="Z46" s="2449"/>
      <c r="AA46" s="993"/>
      <c r="AB46" s="1013"/>
      <c r="AC46" s="1011"/>
      <c r="AD46" s="1011"/>
      <c r="AE46" s="1011"/>
      <c r="AF46" s="3683"/>
      <c r="AG46" s="1011"/>
      <c r="AH46" s="1011"/>
      <c r="AI46" s="3680"/>
      <c r="AJ46" s="2451"/>
      <c r="AK46" s="3679"/>
      <c r="AL46" s="2219"/>
    </row>
    <row r="47" spans="1:38" ht="18" customHeight="1">
      <c r="A47" s="2445" t="s">
        <v>1011</v>
      </c>
      <c r="B47" s="2445"/>
      <c r="C47" s="2445"/>
      <c r="D47" s="2917">
        <f>'Exhibit F'!D46</f>
        <v>0</v>
      </c>
      <c r="E47" s="1019"/>
      <c r="F47" s="1020">
        <f>'Exhibit F'!AC46</f>
        <v>0</v>
      </c>
      <c r="G47" s="997"/>
      <c r="H47" s="2917">
        <v>0</v>
      </c>
      <c r="I47" s="2915"/>
      <c r="J47" s="2918">
        <v>0</v>
      </c>
      <c r="K47" s="1019"/>
      <c r="L47" s="2938">
        <v>0</v>
      </c>
      <c r="M47" s="2938"/>
      <c r="N47" s="2938">
        <v>0</v>
      </c>
      <c r="O47" s="1019"/>
      <c r="P47" s="2917">
        <v>0</v>
      </c>
      <c r="Q47" s="2915"/>
      <c r="R47" s="2938">
        <v>0</v>
      </c>
      <c r="S47" s="992"/>
      <c r="T47" s="2457"/>
      <c r="U47" s="2457"/>
      <c r="V47" s="2468">
        <f t="shared" ref="V47:V52" si="7">SUM(D47)+SUM(H47)+SUM(L47)+SUM(P47)</f>
        <v>0</v>
      </c>
      <c r="W47" s="993"/>
      <c r="X47" s="2447">
        <f t="shared" ref="X47:X52" si="8">SUM(F47)+SUM(J47)+SUM(N47)+SUM(R47)</f>
        <v>0</v>
      </c>
      <c r="Y47" s="2448"/>
      <c r="Z47" s="2449"/>
      <c r="AA47" s="993"/>
      <c r="AB47" s="2914">
        <v>0</v>
      </c>
      <c r="AC47" s="1020"/>
      <c r="AD47" s="2948">
        <f>'Cashflow Governmental'!AE49</f>
        <v>0</v>
      </c>
      <c r="AE47" s="2450"/>
      <c r="AF47" s="3683"/>
      <c r="AG47" s="3684"/>
      <c r="AH47" s="2450">
        <f t="shared" ref="AH47:AH53" si="9">ROUND(SUM(X47)-SUM(AD47),1)</f>
        <v>0</v>
      </c>
      <c r="AI47" s="3685"/>
      <c r="AJ47" s="2324">
        <f>ROUND(IF(AD47=0,0,-AH47/(AD47)),3)</f>
        <v>0</v>
      </c>
      <c r="AK47" s="2451"/>
      <c r="AL47" s="2219"/>
    </row>
    <row r="48" spans="1:38" ht="18" customHeight="1">
      <c r="A48" s="2445" t="s">
        <v>1012</v>
      </c>
      <c r="B48" s="2445"/>
      <c r="C48" s="2445"/>
      <c r="D48" s="2917">
        <f>'Exhibit F'!D47</f>
        <v>50.2</v>
      </c>
      <c r="E48" s="1019"/>
      <c r="F48" s="1020">
        <f>'Exhibit F'!AC47</f>
        <v>50.2</v>
      </c>
      <c r="G48" s="997"/>
      <c r="H48" s="2917">
        <v>0</v>
      </c>
      <c r="I48" s="2915"/>
      <c r="J48" s="2918">
        <v>0</v>
      </c>
      <c r="K48" s="1019"/>
      <c r="L48" s="2938">
        <v>0</v>
      </c>
      <c r="M48" s="2938"/>
      <c r="N48" s="2938">
        <v>0</v>
      </c>
      <c r="O48" s="1019"/>
      <c r="P48" s="2917">
        <v>0</v>
      </c>
      <c r="Q48" s="2915"/>
      <c r="R48" s="2938">
        <v>0</v>
      </c>
      <c r="S48" s="992"/>
      <c r="T48" s="2457"/>
      <c r="U48" s="2457"/>
      <c r="V48" s="2447">
        <f t="shared" si="7"/>
        <v>50.2</v>
      </c>
      <c r="W48" s="993"/>
      <c r="X48" s="2447">
        <f t="shared" si="8"/>
        <v>50.2</v>
      </c>
      <c r="Y48" s="2448"/>
      <c r="Z48" s="2449"/>
      <c r="AA48" s="993"/>
      <c r="AB48" s="2914">
        <v>89.7</v>
      </c>
      <c r="AC48" s="1020"/>
      <c r="AD48" s="2948">
        <f>'Cashflow Governmental'!AE50</f>
        <v>89.7</v>
      </c>
      <c r="AE48" s="3682"/>
      <c r="AF48" s="3683"/>
      <c r="AG48" s="3684"/>
      <c r="AH48" s="2450">
        <f t="shared" si="9"/>
        <v>-39.5</v>
      </c>
      <c r="AI48" s="3685"/>
      <c r="AJ48" s="2451">
        <f>ROUND(AH48/AD48,3)</f>
        <v>-0.44</v>
      </c>
      <c r="AK48" s="2451"/>
      <c r="AL48" s="2219"/>
    </row>
    <row r="49" spans="1:38" ht="18" customHeight="1">
      <c r="A49" s="2445" t="s">
        <v>1013</v>
      </c>
      <c r="B49" s="2445"/>
      <c r="C49" s="2445"/>
      <c r="D49" s="2917">
        <f>'Exhibit F'!D48</f>
        <v>0.9</v>
      </c>
      <c r="E49" s="1019"/>
      <c r="F49" s="1020">
        <f>'Exhibit F'!AC48</f>
        <v>0.9</v>
      </c>
      <c r="G49" s="997"/>
      <c r="H49" s="2917">
        <v>0</v>
      </c>
      <c r="I49" s="2915"/>
      <c r="J49" s="2918">
        <v>0</v>
      </c>
      <c r="K49" s="1019"/>
      <c r="L49" s="2938">
        <v>0</v>
      </c>
      <c r="M49" s="2938"/>
      <c r="N49" s="2938">
        <v>0</v>
      </c>
      <c r="O49" s="1019"/>
      <c r="P49" s="2917">
        <v>0</v>
      </c>
      <c r="Q49" s="2915"/>
      <c r="R49" s="2938">
        <v>0</v>
      </c>
      <c r="S49" s="992"/>
      <c r="T49" s="2457"/>
      <c r="U49" s="2457"/>
      <c r="V49" s="2447">
        <f t="shared" si="7"/>
        <v>0.9</v>
      </c>
      <c r="W49" s="993"/>
      <c r="X49" s="2447">
        <f t="shared" si="8"/>
        <v>0.9</v>
      </c>
      <c r="Y49" s="2448"/>
      <c r="Z49" s="2449"/>
      <c r="AA49" s="993"/>
      <c r="AB49" s="2914">
        <v>0.8</v>
      </c>
      <c r="AC49" s="1020"/>
      <c r="AD49" s="2948">
        <f>'Cashflow Governmental'!AE51</f>
        <v>0.8</v>
      </c>
      <c r="AE49" s="3682"/>
      <c r="AF49" s="3683"/>
      <c r="AG49" s="3684"/>
      <c r="AH49" s="2450">
        <f t="shared" si="9"/>
        <v>0.1</v>
      </c>
      <c r="AI49" s="3685"/>
      <c r="AJ49" s="2451">
        <f>ROUND(AH49/AD49,3)</f>
        <v>0.125</v>
      </c>
      <c r="AK49" s="2451"/>
      <c r="AL49" s="2219"/>
    </row>
    <row r="50" spans="1:38" ht="18" customHeight="1">
      <c r="A50" s="2445" t="s">
        <v>1014</v>
      </c>
      <c r="B50" s="2445"/>
      <c r="C50" s="2445"/>
      <c r="D50" s="2917">
        <f>'Exhibit F'!D49</f>
        <v>0</v>
      </c>
      <c r="E50" s="2916"/>
      <c r="F50" s="1020">
        <f>'Exhibit F'!AC49</f>
        <v>0</v>
      </c>
      <c r="G50" s="997"/>
      <c r="H50" s="2917">
        <v>0</v>
      </c>
      <c r="I50" s="2915"/>
      <c r="J50" s="2918">
        <v>0</v>
      </c>
      <c r="K50" s="1019"/>
      <c r="L50" s="2919">
        <f>'Exhibit H'!B22</f>
        <v>87</v>
      </c>
      <c r="M50" s="2919"/>
      <c r="N50" s="2919">
        <f>'Exhibit H'!AA22</f>
        <v>87</v>
      </c>
      <c r="O50" s="1019"/>
      <c r="P50" s="2914">
        <f>'Exhibit I'!E30</f>
        <v>0</v>
      </c>
      <c r="Q50" s="2915"/>
      <c r="R50" s="2948">
        <f>'Exhibit I'!AF30</f>
        <v>0</v>
      </c>
      <c r="S50" s="992"/>
      <c r="T50" s="2457"/>
      <c r="U50" s="2457"/>
      <c r="V50" s="2447">
        <f t="shared" si="7"/>
        <v>87</v>
      </c>
      <c r="W50" s="993"/>
      <c r="X50" s="2447">
        <f t="shared" si="8"/>
        <v>87</v>
      </c>
      <c r="Y50" s="2448"/>
      <c r="Z50" s="2449"/>
      <c r="AA50" s="993"/>
      <c r="AB50" s="2914">
        <v>94.8</v>
      </c>
      <c r="AC50" s="1020"/>
      <c r="AD50" s="2948">
        <f>'Cashflow Governmental'!AE52</f>
        <v>94.8</v>
      </c>
      <c r="AE50" s="2450"/>
      <c r="AF50" s="3683"/>
      <c r="AG50" s="3684"/>
      <c r="AH50" s="2450">
        <f t="shared" si="9"/>
        <v>-7.8</v>
      </c>
      <c r="AI50" s="3691"/>
      <c r="AJ50" s="2451">
        <f>ROUND(AH50/AD50,3)</f>
        <v>-8.2000000000000003E-2</v>
      </c>
      <c r="AK50" s="2451"/>
      <c r="AL50" s="2219"/>
    </row>
    <row r="51" spans="1:38" ht="18" customHeight="1">
      <c r="A51" s="2445" t="s">
        <v>1015</v>
      </c>
      <c r="B51" s="2445"/>
      <c r="C51" s="2445"/>
      <c r="D51" s="2917">
        <f>'Exhibit F'!D50</f>
        <v>0.5</v>
      </c>
      <c r="E51" s="1018"/>
      <c r="F51" s="1020">
        <f>'Exhibit F'!AC50</f>
        <v>0.5</v>
      </c>
      <c r="G51" s="997"/>
      <c r="H51" s="2917">
        <v>0</v>
      </c>
      <c r="I51" s="2915"/>
      <c r="J51" s="2918">
        <v>0</v>
      </c>
      <c r="K51" s="1019"/>
      <c r="L51" s="2938">
        <v>0</v>
      </c>
      <c r="M51" s="2938"/>
      <c r="N51" s="2938">
        <v>0</v>
      </c>
      <c r="O51" s="1019"/>
      <c r="P51" s="2917">
        <v>0</v>
      </c>
      <c r="Q51" s="2915"/>
      <c r="R51" s="2938">
        <v>0</v>
      </c>
      <c r="S51" s="992"/>
      <c r="T51" s="2457"/>
      <c r="U51" s="2457"/>
      <c r="V51" s="2447">
        <f t="shared" si="7"/>
        <v>0.5</v>
      </c>
      <c r="W51" s="993"/>
      <c r="X51" s="2447">
        <f t="shared" si="8"/>
        <v>0.5</v>
      </c>
      <c r="Y51" s="2448"/>
      <c r="Z51" s="2449"/>
      <c r="AA51" s="993"/>
      <c r="AB51" s="2914">
        <v>0.4</v>
      </c>
      <c r="AC51" s="1020"/>
      <c r="AD51" s="2948">
        <f>'Cashflow Governmental'!AE53</f>
        <v>0.4</v>
      </c>
      <c r="AE51" s="2450"/>
      <c r="AF51" s="3683"/>
      <c r="AG51" s="3684"/>
      <c r="AH51" s="2450">
        <f t="shared" si="9"/>
        <v>0.1</v>
      </c>
      <c r="AI51" s="3691"/>
      <c r="AJ51" s="2324">
        <f>ROUND(IF(AD51=0,0,AH51/(AD51)),3)</f>
        <v>0.25</v>
      </c>
      <c r="AK51" s="2451"/>
      <c r="AL51" s="2219"/>
    </row>
    <row r="52" spans="1:38" ht="18" customHeight="1">
      <c r="A52" s="2446" t="s">
        <v>1016</v>
      </c>
      <c r="B52" s="2445"/>
      <c r="C52" s="2445"/>
      <c r="D52" s="2917">
        <f>'Exhibit F'!D51</f>
        <v>0</v>
      </c>
      <c r="E52" s="1018"/>
      <c r="F52" s="1020">
        <f>'Exhibit F'!AC51</f>
        <v>0</v>
      </c>
      <c r="G52" s="997"/>
      <c r="H52" s="1020">
        <f>'Exhibit G'!D38</f>
        <v>0</v>
      </c>
      <c r="I52" s="2915"/>
      <c r="J52" s="2919">
        <f>'Exhibit G'!AD38</f>
        <v>0</v>
      </c>
      <c r="K52" s="1019"/>
      <c r="L52" s="2938">
        <v>0</v>
      </c>
      <c r="M52" s="2938"/>
      <c r="N52" s="2938">
        <v>0</v>
      </c>
      <c r="O52" s="1019"/>
      <c r="P52" s="2917">
        <v>0</v>
      </c>
      <c r="Q52" s="2915"/>
      <c r="R52" s="2938">
        <v>0</v>
      </c>
      <c r="S52" s="992"/>
      <c r="T52" s="2457"/>
      <c r="U52" s="2457"/>
      <c r="V52" s="2447">
        <f t="shared" si="7"/>
        <v>0</v>
      </c>
      <c r="W52" s="993"/>
      <c r="X52" s="2447">
        <f t="shared" si="8"/>
        <v>0</v>
      </c>
      <c r="Y52" s="2448"/>
      <c r="Z52" s="2449"/>
      <c r="AA52" s="993"/>
      <c r="AB52" s="2914">
        <v>120.2</v>
      </c>
      <c r="AC52" s="1020"/>
      <c r="AD52" s="2948">
        <f>'Cashflow Governmental'!AE54</f>
        <v>120.2</v>
      </c>
      <c r="AE52" s="2450"/>
      <c r="AF52" s="3683"/>
      <c r="AG52" s="3684"/>
      <c r="AH52" s="2225">
        <f t="shared" si="9"/>
        <v>-120.2</v>
      </c>
      <c r="AI52" s="3691"/>
      <c r="AJ52" s="2469">
        <f>ROUND(AH52/AD52,3)</f>
        <v>-1</v>
      </c>
      <c r="AK52" s="2451"/>
      <c r="AL52" s="2219"/>
    </row>
    <row r="53" spans="1:38" ht="18" customHeight="1">
      <c r="A53" s="2444" t="s">
        <v>1005</v>
      </c>
      <c r="B53" s="2445"/>
      <c r="C53" s="2445"/>
      <c r="D53" s="2460">
        <f>ROUND(SUM(D47:D52),1)</f>
        <v>51.6</v>
      </c>
      <c r="E53" s="181"/>
      <c r="F53" s="2466">
        <f>ROUND(SUM(F47:F52),1)</f>
        <v>51.6</v>
      </c>
      <c r="G53" s="195"/>
      <c r="H53" s="2470">
        <f>ROUND(SUM(H47:H52),1)</f>
        <v>0</v>
      </c>
      <c r="I53" s="2453"/>
      <c r="J53" s="2470">
        <f>ROUND(SUM(J47:J52),1)</f>
        <v>0</v>
      </c>
      <c r="K53" s="179"/>
      <c r="L53" s="2460">
        <f>ROUND(SUM(L47:L52),1)</f>
        <v>87</v>
      </c>
      <c r="M53" s="65"/>
      <c r="N53" s="2460">
        <f>ROUND(SUM(N47:N52),1)</f>
        <v>87</v>
      </c>
      <c r="O53" s="179" t="s">
        <v>15</v>
      </c>
      <c r="P53" s="2460">
        <f>ROUND(SUM(P47:P52),1)</f>
        <v>0</v>
      </c>
      <c r="Q53" s="65"/>
      <c r="R53" s="2460">
        <f>ROUND(SUM(R47:R52),1)</f>
        <v>0</v>
      </c>
      <c r="S53" s="179"/>
      <c r="T53" s="2454"/>
      <c r="U53" s="2454"/>
      <c r="V53" s="2455">
        <f>ROUND(SUM(V47:V52),1)</f>
        <v>138.6</v>
      </c>
      <c r="W53" s="181"/>
      <c r="X53" s="2455">
        <f>ROUND(SUM(X47:X52),1)</f>
        <v>138.6</v>
      </c>
      <c r="Y53" s="2530"/>
      <c r="Z53" s="2456"/>
      <c r="AA53" s="181"/>
      <c r="AB53" s="2470">
        <f>ROUND(SUM(AB47:AB52),1)</f>
        <v>305.89999999999998</v>
      </c>
      <c r="AC53" s="2226"/>
      <c r="AD53" s="2470">
        <f>ROUND(SUM(AD47:AD52),1)</f>
        <v>305.89999999999998</v>
      </c>
      <c r="AE53" s="3692"/>
      <c r="AF53" s="3688"/>
      <c r="AG53" s="3693"/>
      <c r="AH53" s="2461">
        <f t="shared" si="9"/>
        <v>-167.3</v>
      </c>
      <c r="AI53" s="3689"/>
      <c r="AJ53" s="2462">
        <f>ROUND(AH53/AD53,3)</f>
        <v>-0.54700000000000004</v>
      </c>
      <c r="AK53" s="3690"/>
      <c r="AL53" s="2227"/>
    </row>
    <row r="54" spans="1:38" ht="18" customHeight="1">
      <c r="A54" s="2445"/>
      <c r="B54" s="2445"/>
      <c r="C54" s="2445"/>
      <c r="D54" s="2471"/>
      <c r="E54" s="155"/>
      <c r="F54" s="2472"/>
      <c r="G54" s="1133"/>
      <c r="H54" s="2471"/>
      <c r="I54" s="18"/>
      <c r="J54" s="2473"/>
      <c r="K54" s="1133"/>
      <c r="L54" s="2471"/>
      <c r="M54" s="18"/>
      <c r="N54" s="2473"/>
      <c r="O54" s="1133"/>
      <c r="P54" s="2471"/>
      <c r="Q54" s="18"/>
      <c r="R54" s="2473"/>
      <c r="S54" s="1133"/>
      <c r="T54" s="2474"/>
      <c r="U54" s="2474"/>
      <c r="V54" s="2472"/>
      <c r="W54" s="194"/>
      <c r="X54" s="2472"/>
      <c r="Y54" s="155"/>
      <c r="Z54" s="2475"/>
      <c r="AA54" s="194"/>
      <c r="AB54" s="2471"/>
      <c r="AC54" s="3694"/>
      <c r="AD54" s="2471"/>
      <c r="AE54" s="3689"/>
      <c r="AF54" s="3695"/>
      <c r="AG54" s="3689"/>
      <c r="AH54" s="2476"/>
      <c r="AI54" s="3689"/>
      <c r="AJ54" s="2477"/>
      <c r="AK54" s="3696"/>
      <c r="AL54" s="2227"/>
    </row>
    <row r="55" spans="1:38" ht="18" customHeight="1" thickBot="1">
      <c r="A55" s="2444" t="s">
        <v>1017</v>
      </c>
      <c r="B55" s="2445"/>
      <c r="C55" s="2445"/>
      <c r="D55" s="2478">
        <f>ROUND(SUM(D25)+SUM(D36)+SUM(D44)+SUM(D53),1)</f>
        <v>3869</v>
      </c>
      <c r="E55" s="2479"/>
      <c r="F55" s="2613">
        <f>ROUND(SUM(F25)+SUM(F36)+SUM(F44)+SUM(F53),1)</f>
        <v>3869</v>
      </c>
      <c r="G55" s="2614"/>
      <c r="H55" s="2478">
        <f>ROUND(SUM(H25)+SUM(H36)+SUM(H44)+SUM(H53),1)</f>
        <v>358.4</v>
      </c>
      <c r="I55" s="2479"/>
      <c r="J55" s="2613">
        <f>ROUND(SUM(J25)+SUM(J36)+SUM(J44)+SUM(J53),1)</f>
        <v>358.4</v>
      </c>
      <c r="K55" s="2479"/>
      <c r="L55" s="2478">
        <f>ROUND(SUM(L25)+SUM(L36)+SUM(L44)+SUM(L53),1)</f>
        <v>3517.9</v>
      </c>
      <c r="M55" s="2479"/>
      <c r="N55" s="2478">
        <f>ROUND(SUM(N25)+SUM(N36)+SUM(N44)+SUM(N53),1)</f>
        <v>3517.9</v>
      </c>
      <c r="O55" s="2479"/>
      <c r="P55" s="2478">
        <f>ROUND(SUM(P25)+SUM(P36)+SUM(P44)+SUM(P53),1)</f>
        <v>112</v>
      </c>
      <c r="Q55" s="2479"/>
      <c r="R55" s="2613">
        <f>ROUND(SUM(R25)+SUM(R36)+SUM(R44)+SUM(R53),1)</f>
        <v>112</v>
      </c>
      <c r="S55" s="2480"/>
      <c r="T55" s="2481"/>
      <c r="U55" s="2479"/>
      <c r="V55" s="2482">
        <f>ROUND(SUM(V25)+SUM(V36)+SUM(V44)+SUM(V53),1)</f>
        <v>7857.3</v>
      </c>
      <c r="W55" s="2479"/>
      <c r="X55" s="2482">
        <f>ROUND(SUM(X25)+SUM(X36)+SUM(X44)+SUM(X53),1)</f>
        <v>7857.3</v>
      </c>
      <c r="Y55" s="2533"/>
      <c r="Z55" s="2483"/>
      <c r="AA55" s="2479"/>
      <c r="AB55" s="3697">
        <f>ROUND(SUM(AB25)+SUM(AB36)+SUM(AB44)+SUM(AB53),1)</f>
        <v>7140.7</v>
      </c>
      <c r="AC55" s="3698"/>
      <c r="AD55" s="3697">
        <f>ROUND(SUM(AD25)+SUM(AD36)+SUM(AD44)+SUM(AD53),1)</f>
        <v>7140.7</v>
      </c>
      <c r="AE55" s="3698"/>
      <c r="AF55" s="3699"/>
      <c r="AG55" s="3698"/>
      <c r="AH55" s="2484">
        <f>ROUND(SUM(X55)-SUM(AD55),1)</f>
        <v>716.6</v>
      </c>
      <c r="AI55" s="3689"/>
      <c r="AJ55" s="2485">
        <f>ROUND(AH55/AD55,3)</f>
        <v>0.1</v>
      </c>
      <c r="AK55" s="3690"/>
      <c r="AL55" s="2227"/>
    </row>
    <row r="56" spans="1:38" ht="15" customHeight="1" thickTop="1">
      <c r="AB56" s="3700"/>
      <c r="AC56" s="3700"/>
      <c r="AD56" s="3700"/>
      <c r="AE56" s="3700"/>
      <c r="AF56" s="3700"/>
      <c r="AG56" s="3700"/>
      <c r="AH56" s="3700"/>
      <c r="AI56" s="3700"/>
      <c r="AJ56" s="3700"/>
      <c r="AK56" s="3700"/>
    </row>
    <row r="57" spans="1:38" ht="15" customHeight="1">
      <c r="AB57" s="3700"/>
      <c r="AC57" s="3700"/>
      <c r="AD57" s="3700"/>
      <c r="AE57" s="3700"/>
      <c r="AF57" s="3700"/>
      <c r="AG57" s="3700"/>
      <c r="AH57" s="3700"/>
      <c r="AI57" s="3700"/>
      <c r="AJ57" s="3700"/>
      <c r="AK57" s="3700"/>
    </row>
    <row r="58" spans="1:38" ht="15" customHeight="1">
      <c r="AB58" s="3700"/>
      <c r="AC58" s="3700"/>
      <c r="AD58" s="3700"/>
      <c r="AE58" s="3700"/>
      <c r="AF58" s="3700"/>
      <c r="AG58" s="3700"/>
      <c r="AH58" s="3700"/>
      <c r="AI58" s="3700"/>
      <c r="AJ58" s="3700"/>
      <c r="AK58" s="3700"/>
    </row>
    <row r="59" spans="1:38">
      <c r="AB59" s="3700"/>
      <c r="AC59" s="3700"/>
      <c r="AD59" s="3700"/>
      <c r="AE59" s="3700"/>
      <c r="AF59" s="3700"/>
      <c r="AG59" s="3700"/>
      <c r="AH59" s="3700"/>
      <c r="AI59" s="3700"/>
      <c r="AJ59" s="3700"/>
      <c r="AK59" s="3700"/>
    </row>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1" firstPageNumber="15" orientation="landscape" useFirstPageNumber="1" r:id="rId2"/>
  <headerFooter scaleWithDoc="0" alignWithMargins="0">
    <oddFooter>&amp;C&amp;8&amp;P</oddFooter>
  </headerFooter>
  <ignoredErrors>
    <ignoredError sqref="F36 R36 F44 J44 N44 R44 F55 R55 AJ47 AJ22:AJ23" unlockedFormula="1"/>
    <ignoredError sqref="AH24 AJ19 AH19 V31 V21:X21" formula="1"/>
    <ignoredError sqref="AJ31 AJ51" formula="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G158"/>
  <sheetViews>
    <sheetView showGridLines="0" zoomScale="70" zoomScaleNormal="55" workbookViewId="0"/>
  </sheetViews>
  <sheetFormatPr defaultColWidth="8.88671875" defaultRowHeight="16.5" customHeight="1"/>
  <cols>
    <col min="1" max="1" width="43.6640625" style="405" customWidth="1"/>
    <col min="2" max="2" width="1.6640625" style="405" customWidth="1"/>
    <col min="3" max="3" width="13.44140625" style="405" customWidth="1"/>
    <col min="4" max="4" width="1.6640625" style="405" customWidth="1"/>
    <col min="5" max="5" width="13.21875" style="405" bestFit="1" customWidth="1"/>
    <col min="6" max="6" width="1.6640625" style="405" customWidth="1"/>
    <col min="7" max="7" width="12.88671875" style="405" bestFit="1" customWidth="1"/>
    <col min="8" max="8" width="1.6640625" style="405" customWidth="1"/>
    <col min="9" max="9" width="14.44140625" style="405" customWidth="1"/>
    <col min="10" max="10" width="1.6640625" style="405" customWidth="1"/>
    <col min="11" max="11" width="13.21875" style="405" bestFit="1" customWidth="1"/>
    <col min="12" max="12" width="1.6640625" style="405" customWidth="1"/>
    <col min="13" max="13" width="13.33203125" style="405" customWidth="1"/>
    <col min="14" max="14" width="1.6640625" style="405" customWidth="1"/>
    <col min="15" max="15" width="13.21875" style="405" bestFit="1" customWidth="1"/>
    <col min="16" max="16" width="1.6640625" style="405" customWidth="1"/>
    <col min="17" max="17" width="13.44140625" style="405" bestFit="1" customWidth="1"/>
    <col min="18" max="18" width="1.6640625" style="405" customWidth="1"/>
    <col min="19" max="19" width="13.33203125" style="405" customWidth="1"/>
    <col min="20" max="20" width="1.6640625" style="405" customWidth="1"/>
    <col min="21" max="21" width="13" style="405" customWidth="1"/>
    <col min="22" max="22" width="1.6640625" style="405" customWidth="1"/>
    <col min="23" max="23" width="13.77734375" style="405" customWidth="1"/>
    <col min="24" max="24" width="1.6640625" style="405" customWidth="1"/>
    <col min="25" max="25" width="12.88671875" style="405" bestFit="1" customWidth="1"/>
    <col min="26" max="27" width="1.6640625" style="405" customWidth="1"/>
    <col min="28" max="28" width="15.21875" style="405" customWidth="1"/>
    <col min="29" max="30" width="1.6640625" style="405" customWidth="1"/>
    <col min="31" max="31" width="15.21875" style="405" customWidth="1"/>
    <col min="32" max="32" width="0.77734375" style="405" customWidth="1"/>
    <col min="33" max="33" width="1.6640625" style="405" customWidth="1"/>
    <col min="34" max="34" width="12.88671875" style="405" bestFit="1" customWidth="1"/>
    <col min="35" max="35" width="1.33203125" style="405" customWidth="1"/>
    <col min="36" max="36" width="11.77734375" style="405" customWidth="1"/>
    <col min="37" max="16384" width="8.88671875" style="405"/>
  </cols>
  <sheetData>
    <row r="1" spans="1:37" ht="16.5" customHeight="1">
      <c r="A1" s="1052" t="s">
        <v>1064</v>
      </c>
    </row>
    <row r="2" spans="1:37" ht="16.5" customHeight="1">
      <c r="A2" s="1454"/>
    </row>
    <row r="3" spans="1:37" ht="20.25" customHeight="1">
      <c r="A3" s="413" t="s">
        <v>0</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I3" s="416"/>
    </row>
    <row r="4" spans="1:37" ht="20.25" customHeight="1">
      <c r="A4" s="413" t="s">
        <v>124</v>
      </c>
      <c r="B4" s="416"/>
      <c r="C4" s="416"/>
      <c r="D4" s="416"/>
      <c r="E4" s="416"/>
      <c r="F4" s="416"/>
      <c r="G4" s="416"/>
      <c r="H4" s="416"/>
      <c r="I4" s="416" t="s">
        <v>15</v>
      </c>
      <c r="J4" s="416"/>
      <c r="K4" s="416"/>
      <c r="L4" s="416"/>
      <c r="M4" s="416"/>
      <c r="N4" s="416"/>
      <c r="O4" s="416"/>
      <c r="P4" s="416"/>
      <c r="Q4" s="416"/>
      <c r="R4" s="416"/>
      <c r="S4" s="416"/>
      <c r="T4" s="416"/>
      <c r="U4" s="416"/>
      <c r="V4" s="416"/>
      <c r="W4" s="416"/>
      <c r="X4" s="416"/>
      <c r="Y4" s="416" t="s">
        <v>15</v>
      </c>
      <c r="Z4" s="416"/>
      <c r="AA4" s="416"/>
      <c r="AB4" s="416"/>
      <c r="AC4" s="416"/>
      <c r="AD4" s="416"/>
      <c r="AE4" s="416"/>
      <c r="AF4" s="416"/>
      <c r="AG4" s="416"/>
      <c r="AI4" s="416"/>
    </row>
    <row r="5" spans="1:37" ht="20.25" customHeight="1">
      <c r="A5" s="415" t="s">
        <v>125</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C5" s="3747"/>
      <c r="AD5" s="3748"/>
      <c r="AE5" s="3748"/>
      <c r="AF5" s="3748"/>
      <c r="AG5" s="3748"/>
      <c r="AH5" s="3748"/>
      <c r="AI5" s="3748"/>
      <c r="AJ5" s="3748"/>
    </row>
    <row r="6" spans="1:37" ht="20.25" customHeight="1">
      <c r="A6" s="415" t="s">
        <v>1462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I6" s="416"/>
    </row>
    <row r="7" spans="1:37" ht="20.25" customHeight="1">
      <c r="A7" s="413" t="s">
        <v>957</v>
      </c>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I7" s="416"/>
    </row>
    <row r="8" spans="1:37" ht="16.5" customHeight="1">
      <c r="A8" s="416"/>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I8" s="416"/>
    </row>
    <row r="9" spans="1:37" ht="16.5" customHeight="1">
      <c r="A9" s="416"/>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I9" s="416"/>
    </row>
    <row r="10" spans="1:37" ht="16.5" customHeight="1">
      <c r="A10" s="416"/>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I10" s="416"/>
    </row>
    <row r="11" spans="1:37" ht="16.5" customHeight="1">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C11" s="416"/>
      <c r="AD11" s="416"/>
      <c r="AE11" s="416"/>
      <c r="AF11" s="416"/>
      <c r="AG11" s="416"/>
      <c r="AI11" s="416"/>
    </row>
    <row r="12" spans="1:37" ht="16.5" customHeight="1">
      <c r="A12" s="416"/>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Z12" s="416"/>
      <c r="AA12" s="873"/>
      <c r="AB12" s="3749" t="s">
        <v>1466</v>
      </c>
      <c r="AC12" s="3750"/>
      <c r="AD12" s="3750"/>
      <c r="AE12" s="3750"/>
      <c r="AF12" s="3750"/>
      <c r="AG12" s="3750"/>
      <c r="AH12" s="3750"/>
      <c r="AI12" s="3750"/>
      <c r="AJ12" s="3750"/>
    </row>
    <row r="13" spans="1:37" ht="16.5" customHeight="1">
      <c r="A13" s="416"/>
      <c r="B13" s="416"/>
      <c r="C13" s="2574" t="s">
        <v>1414</v>
      </c>
      <c r="D13" s="871"/>
      <c r="E13" s="871"/>
      <c r="F13" s="871"/>
      <c r="G13" s="871"/>
      <c r="H13" s="871"/>
      <c r="I13" s="871"/>
      <c r="J13" s="871"/>
      <c r="K13" s="871"/>
      <c r="L13" s="871"/>
      <c r="M13" s="871"/>
      <c r="N13" s="871"/>
      <c r="O13" s="871"/>
      <c r="P13" s="871"/>
      <c r="Q13" s="871"/>
      <c r="R13" s="871"/>
      <c r="S13" s="871"/>
      <c r="T13" s="871"/>
      <c r="U13" s="2574" t="s">
        <v>1465</v>
      </c>
      <c r="V13" s="871"/>
      <c r="W13" s="871"/>
      <c r="X13" s="871"/>
      <c r="Y13" s="871"/>
      <c r="Z13" s="871"/>
      <c r="AA13" s="871"/>
      <c r="AB13" s="871"/>
      <c r="AC13" s="1289"/>
      <c r="AD13" s="1289"/>
      <c r="AE13" s="1289"/>
      <c r="AF13" s="871"/>
      <c r="AG13" s="871"/>
      <c r="AH13" s="1290" t="s">
        <v>8</v>
      </c>
      <c r="AI13" s="1288"/>
      <c r="AJ13" s="1290" t="s">
        <v>9</v>
      </c>
    </row>
    <row r="14" spans="1:37" ht="16.5" customHeight="1">
      <c r="A14" s="416"/>
      <c r="B14" s="416"/>
      <c r="C14" s="1290" t="s">
        <v>126</v>
      </c>
      <c r="D14" s="871"/>
      <c r="E14" s="1290" t="s">
        <v>127</v>
      </c>
      <c r="F14" s="871"/>
      <c r="G14" s="1290" t="s">
        <v>128</v>
      </c>
      <c r="H14" s="871"/>
      <c r="I14" s="1290" t="s">
        <v>129</v>
      </c>
      <c r="J14" s="871"/>
      <c r="K14" s="1290" t="s">
        <v>130</v>
      </c>
      <c r="L14" s="871"/>
      <c r="M14" s="1290" t="s">
        <v>131</v>
      </c>
      <c r="N14" s="871"/>
      <c r="O14" s="1290" t="s">
        <v>132</v>
      </c>
      <c r="P14" s="871"/>
      <c r="Q14" s="1290" t="s">
        <v>133</v>
      </c>
      <c r="R14" s="871"/>
      <c r="S14" s="1290" t="s">
        <v>134</v>
      </c>
      <c r="T14" s="871"/>
      <c r="U14" s="1290" t="s">
        <v>135</v>
      </c>
      <c r="V14" s="871"/>
      <c r="W14" s="1290" t="s">
        <v>136</v>
      </c>
      <c r="X14" s="871"/>
      <c r="Y14" s="1290" t="s">
        <v>137</v>
      </c>
      <c r="Z14" s="871"/>
      <c r="AA14" s="871"/>
      <c r="AB14" s="1291" t="s">
        <v>1414</v>
      </c>
      <c r="AC14" s="871"/>
      <c r="AD14" s="871"/>
      <c r="AE14" s="1291" t="s">
        <v>1398</v>
      </c>
      <c r="AF14" s="871"/>
      <c r="AG14" s="871"/>
      <c r="AH14" s="1292" t="s">
        <v>12</v>
      </c>
      <c r="AI14" s="1288"/>
      <c r="AJ14" s="1292" t="s">
        <v>13</v>
      </c>
    </row>
    <row r="15" spans="1:37" ht="6" customHeight="1">
      <c r="A15" s="416"/>
      <c r="B15" s="416"/>
      <c r="C15" s="874"/>
      <c r="D15" s="416"/>
      <c r="E15" s="874"/>
      <c r="F15" s="416"/>
      <c r="G15" s="874"/>
      <c r="H15" s="416"/>
      <c r="I15" s="874"/>
      <c r="J15" s="416"/>
      <c r="K15" s="874"/>
      <c r="L15" s="416"/>
      <c r="M15" s="874"/>
      <c r="N15" s="416"/>
      <c r="O15" s="874" t="s">
        <v>15</v>
      </c>
      <c r="P15" s="416"/>
      <c r="Q15" s="874"/>
      <c r="R15" s="416"/>
      <c r="S15" s="874"/>
      <c r="T15" s="416"/>
      <c r="U15" s="874" t="s">
        <v>15</v>
      </c>
      <c r="V15" s="416"/>
      <c r="W15" s="874"/>
      <c r="X15" s="416"/>
      <c r="Y15" s="874"/>
      <c r="Z15" s="416"/>
      <c r="AA15" s="416"/>
      <c r="AB15" s="874"/>
      <c r="AC15" s="416"/>
      <c r="AD15" s="416"/>
      <c r="AE15" s="874"/>
      <c r="AF15" s="416"/>
      <c r="AG15" s="416"/>
      <c r="AI15" s="416"/>
    </row>
    <row r="16" spans="1:37" ht="16.5" customHeight="1">
      <c r="A16" s="872" t="s">
        <v>138</v>
      </c>
      <c r="B16" s="416"/>
      <c r="C16" s="2852">
        <f>'Exhibit F'!D14+'Exhibit G'!D14+'Exhibit H'!B12+'Exhibit I'!E15</f>
        <v>12749</v>
      </c>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6"/>
      <c r="AB16" s="875">
        <f>C16</f>
        <v>12749</v>
      </c>
      <c r="AC16" s="875"/>
      <c r="AD16" s="877"/>
      <c r="AE16" s="875">
        <f>'Exhibit F'!AF14+'Exhibit G'!AG14+'Exhibit H'!AD12+'Exhibit I'!AI15</f>
        <v>11104.699999999999</v>
      </c>
      <c r="AF16" s="875"/>
      <c r="AG16" s="875"/>
      <c r="AH16" s="875">
        <f>ROUND(SUM(AB16-AE16),1)</f>
        <v>1644.3</v>
      </c>
      <c r="AI16" s="871"/>
      <c r="AJ16" s="489">
        <f>ROUND(SUM(AH16/AE16),3)</f>
        <v>0.14799999999999999</v>
      </c>
      <c r="AK16" s="736"/>
    </row>
    <row r="17" spans="1:36" ht="16.5" customHeight="1">
      <c r="A17" s="416"/>
      <c r="B17" s="416"/>
      <c r="C17" s="416" t="s">
        <v>15</v>
      </c>
      <c r="D17" s="416"/>
      <c r="E17" s="878"/>
      <c r="F17" s="416"/>
      <c r="G17" s="878"/>
      <c r="H17" s="416"/>
      <c r="I17" s="878"/>
      <c r="J17" s="416"/>
      <c r="K17" s="878"/>
      <c r="L17" s="416"/>
      <c r="M17" s="878"/>
      <c r="N17" s="416"/>
      <c r="O17" s="878"/>
      <c r="P17" s="416"/>
      <c r="Q17" s="878"/>
      <c r="R17" s="416"/>
      <c r="S17" s="878"/>
      <c r="T17" s="416"/>
      <c r="U17" s="878"/>
      <c r="V17" s="416"/>
      <c r="W17" s="878"/>
      <c r="X17" s="416"/>
      <c r="Y17" s="878"/>
      <c r="Z17" s="416"/>
      <c r="AA17" s="879"/>
      <c r="AB17" s="416" t="s">
        <v>15</v>
      </c>
      <c r="AC17" s="416"/>
      <c r="AD17" s="880"/>
      <c r="AE17" s="416" t="s">
        <v>15</v>
      </c>
      <c r="AF17" s="416"/>
      <c r="AG17" s="416"/>
      <c r="AH17" s="1438"/>
      <c r="AI17" s="416"/>
      <c r="AJ17" s="1438"/>
    </row>
    <row r="18" spans="1:36" ht="16.5" customHeight="1">
      <c r="A18" s="397" t="s">
        <v>14</v>
      </c>
      <c r="B18" s="416"/>
      <c r="C18" s="416"/>
      <c r="D18" s="416"/>
      <c r="E18" s="878"/>
      <c r="F18" s="416"/>
      <c r="G18" s="878"/>
      <c r="H18" s="416"/>
      <c r="I18" s="878"/>
      <c r="J18" s="416"/>
      <c r="K18" s="878"/>
      <c r="L18" s="416"/>
      <c r="M18" s="878"/>
      <c r="N18" s="416"/>
      <c r="O18" s="878"/>
      <c r="P18" s="416"/>
      <c r="Q18" s="878"/>
      <c r="R18" s="416"/>
      <c r="S18" s="878"/>
      <c r="T18" s="416"/>
      <c r="U18" s="878"/>
      <c r="V18" s="416"/>
      <c r="W18" s="878"/>
      <c r="X18" s="416"/>
      <c r="Y18" s="878"/>
      <c r="Z18" s="416"/>
      <c r="AA18" s="879"/>
      <c r="AB18" s="416"/>
      <c r="AC18" s="416"/>
      <c r="AD18" s="880"/>
      <c r="AE18" s="416"/>
      <c r="AF18" s="416"/>
      <c r="AG18" s="416"/>
      <c r="AH18" s="1438"/>
      <c r="AI18" s="416"/>
      <c r="AJ18" s="1438"/>
    </row>
    <row r="19" spans="1:36" ht="16.5" customHeight="1">
      <c r="A19" s="467" t="s">
        <v>1193</v>
      </c>
      <c r="B19" s="416"/>
      <c r="C19" s="416"/>
      <c r="D19" s="416"/>
      <c r="E19" s="878"/>
      <c r="F19" s="416"/>
      <c r="G19" s="878"/>
      <c r="H19" s="416"/>
      <c r="I19" s="878"/>
      <c r="J19" s="416"/>
      <c r="K19" s="878"/>
      <c r="L19" s="416"/>
      <c r="M19" s="878"/>
      <c r="N19" s="416"/>
      <c r="O19" s="878"/>
      <c r="P19" s="416"/>
      <c r="Q19" s="878"/>
      <c r="R19" s="416"/>
      <c r="S19" s="878"/>
      <c r="T19" s="416"/>
      <c r="U19" s="878"/>
      <c r="V19" s="416"/>
      <c r="W19" s="878"/>
      <c r="X19" s="416"/>
      <c r="Y19" s="878"/>
      <c r="Z19" s="416"/>
      <c r="AA19" s="879"/>
      <c r="AB19" s="416"/>
      <c r="AC19" s="416"/>
      <c r="AD19" s="880"/>
      <c r="AE19" s="416"/>
      <c r="AF19" s="416"/>
      <c r="AG19" s="416"/>
      <c r="AH19" s="1438"/>
      <c r="AI19" s="416"/>
      <c r="AJ19" s="1438"/>
    </row>
    <row r="20" spans="1:36" ht="16.5" customHeight="1">
      <c r="A20" s="1768" t="s">
        <v>1260</v>
      </c>
      <c r="B20" s="1132"/>
      <c r="C20" s="1007"/>
      <c r="D20" s="1007"/>
      <c r="E20" s="1007"/>
      <c r="F20" s="1007"/>
      <c r="G20" s="1007"/>
      <c r="H20" s="416"/>
      <c r="I20" s="878"/>
      <c r="J20" s="416"/>
      <c r="K20" s="878"/>
      <c r="L20" s="416"/>
      <c r="M20" s="878"/>
      <c r="N20" s="416"/>
      <c r="O20" s="878"/>
      <c r="P20" s="416"/>
      <c r="Q20" s="878"/>
      <c r="R20" s="416"/>
      <c r="S20" s="878"/>
      <c r="T20" s="416"/>
      <c r="U20" s="878"/>
      <c r="V20" s="416"/>
      <c r="W20" s="878"/>
      <c r="X20" s="416"/>
      <c r="Y20" s="878"/>
      <c r="Z20" s="416"/>
      <c r="AA20" s="1627"/>
      <c r="AB20" s="416"/>
      <c r="AC20" s="416"/>
      <c r="AD20" s="880"/>
      <c r="AE20" s="416"/>
      <c r="AF20" s="416"/>
      <c r="AG20" s="416"/>
      <c r="AH20" s="1438"/>
      <c r="AI20" s="416"/>
      <c r="AJ20" s="1438"/>
    </row>
    <row r="21" spans="1:36" ht="16.5" customHeight="1">
      <c r="A21" s="1132" t="s">
        <v>1199</v>
      </c>
      <c r="B21" s="1132"/>
      <c r="C21" s="652">
        <f>+'Exhibit F'!D19</f>
        <v>2930.1</v>
      </c>
      <c r="D21" s="1010"/>
      <c r="E21" s="652"/>
      <c r="F21" s="1010"/>
      <c r="G21" s="652"/>
      <c r="H21" s="881"/>
      <c r="I21" s="652"/>
      <c r="J21" s="881"/>
      <c r="K21" s="652"/>
      <c r="L21" s="416"/>
      <c r="M21" s="652"/>
      <c r="N21" s="416"/>
      <c r="O21" s="652"/>
      <c r="P21" s="416"/>
      <c r="Q21" s="652"/>
      <c r="R21" s="416"/>
      <c r="S21" s="652"/>
      <c r="T21" s="416"/>
      <c r="U21" s="652"/>
      <c r="V21" s="416"/>
      <c r="W21" s="652"/>
      <c r="X21" s="416"/>
      <c r="Y21" s="652"/>
      <c r="Z21" s="416"/>
      <c r="AA21" s="1627"/>
      <c r="AB21" s="881">
        <f>ROUND(SUM(C21:Y21),1)</f>
        <v>2930.1</v>
      </c>
      <c r="AC21" s="416"/>
      <c r="AD21" s="880"/>
      <c r="AE21" s="652">
        <f>+'Exhibit F'!AF19</f>
        <v>2755.8</v>
      </c>
      <c r="AF21" s="416"/>
      <c r="AG21" s="416"/>
      <c r="AH21" s="1042">
        <f>ROUND(SUM(+AB21-AE21),1)</f>
        <v>174.3</v>
      </c>
      <c r="AI21" s="1781"/>
      <c r="AJ21" s="1565">
        <f>ROUND(IF(AE21=0,0,AH21/ABS(AE21)),3)</f>
        <v>6.3E-2</v>
      </c>
    </row>
    <row r="22" spans="1:36" ht="16.5" customHeight="1">
      <c r="A22" s="1132" t="s">
        <v>1200</v>
      </c>
      <c r="B22" s="1137"/>
      <c r="C22" s="652">
        <f>+'Exhibit F'!D20</f>
        <v>4356</v>
      </c>
      <c r="D22" s="1010"/>
      <c r="E22" s="652"/>
      <c r="F22" s="1010"/>
      <c r="G22" s="652"/>
      <c r="H22" s="881"/>
      <c r="I22" s="652"/>
      <c r="J22" s="881"/>
      <c r="K22" s="652"/>
      <c r="L22" s="416"/>
      <c r="M22" s="652"/>
      <c r="N22" s="416"/>
      <c r="O22" s="652"/>
      <c r="P22" s="416"/>
      <c r="Q22" s="652"/>
      <c r="R22" s="416"/>
      <c r="S22" s="652"/>
      <c r="T22" s="416"/>
      <c r="U22" s="652"/>
      <c r="V22" s="416"/>
      <c r="W22" s="652"/>
      <c r="X22" s="416"/>
      <c r="Y22" s="652"/>
      <c r="Z22" s="416"/>
      <c r="AA22" s="1627"/>
      <c r="AB22" s="881">
        <f t="shared" ref="AB22:AB30" si="0">ROUND(SUM(C22:Y22),1)</f>
        <v>4356</v>
      </c>
      <c r="AC22" s="416"/>
      <c r="AD22" s="880"/>
      <c r="AE22" s="652">
        <f>+'Exhibit F'!AF20</f>
        <v>4168.2</v>
      </c>
      <c r="AF22" s="416"/>
      <c r="AG22" s="416"/>
      <c r="AH22" s="1042">
        <f>ROUND(SUM(+AB22-AE22),1)</f>
        <v>187.8</v>
      </c>
      <c r="AI22" s="1781"/>
      <c r="AJ22" s="1565">
        <f>ROUND(IF(AE22=0,0,AH22/ABS(AE22)),3)</f>
        <v>4.4999999999999998E-2</v>
      </c>
    </row>
    <row r="23" spans="1:36" ht="16.5" customHeight="1">
      <c r="A23" s="1132" t="s">
        <v>1201</v>
      </c>
      <c r="B23" s="1132"/>
      <c r="C23" s="652">
        <f>+'Exhibit F'!D21</f>
        <v>1639.5</v>
      </c>
      <c r="D23" s="1010"/>
      <c r="E23" s="652"/>
      <c r="F23" s="1010"/>
      <c r="G23" s="652"/>
      <c r="H23" s="881"/>
      <c r="I23" s="652"/>
      <c r="J23" s="881"/>
      <c r="K23" s="652"/>
      <c r="L23" s="416"/>
      <c r="M23" s="652"/>
      <c r="N23" s="416"/>
      <c r="O23" s="652"/>
      <c r="P23" s="416"/>
      <c r="Q23" s="652"/>
      <c r="R23" s="416"/>
      <c r="S23" s="652"/>
      <c r="T23" s="416"/>
      <c r="U23" s="652"/>
      <c r="V23" s="416"/>
      <c r="W23" s="652"/>
      <c r="X23" s="416"/>
      <c r="Y23" s="652"/>
      <c r="Z23" s="416"/>
      <c r="AA23" s="1627"/>
      <c r="AB23" s="881">
        <f t="shared" si="0"/>
        <v>1639.5</v>
      </c>
      <c r="AC23" s="416"/>
      <c r="AD23" s="880"/>
      <c r="AE23" s="652">
        <f>+'Exhibit F'!AF21</f>
        <v>1572.8</v>
      </c>
      <c r="AF23" s="416"/>
      <c r="AG23" s="416"/>
      <c r="AH23" s="1042">
        <f>ROUND(SUM(+AB23-AE23),1)</f>
        <v>66.7</v>
      </c>
      <c r="AI23" s="1781"/>
      <c r="AJ23" s="1565">
        <f>ROUND(IF(AE23=0,0,AH23/ABS(AE23)),3)</f>
        <v>4.2000000000000003E-2</v>
      </c>
    </row>
    <row r="24" spans="1:36" ht="16.5" customHeight="1">
      <c r="A24" s="1802" t="s">
        <v>1202</v>
      </c>
      <c r="B24" s="1132"/>
      <c r="C24" s="652">
        <f>+'Exhibit F'!D22</f>
        <v>-279.89999999999998</v>
      </c>
      <c r="D24" s="1010"/>
      <c r="E24" s="652"/>
      <c r="F24" s="1010"/>
      <c r="G24" s="652"/>
      <c r="H24" s="881"/>
      <c r="I24" s="652"/>
      <c r="J24" s="881"/>
      <c r="K24" s="652"/>
      <c r="L24" s="416"/>
      <c r="M24" s="652"/>
      <c r="N24" s="416"/>
      <c r="O24" s="652"/>
      <c r="P24" s="416"/>
      <c r="Q24" s="652"/>
      <c r="R24" s="416"/>
      <c r="S24" s="652"/>
      <c r="T24" s="416"/>
      <c r="U24" s="652"/>
      <c r="V24" s="416"/>
      <c r="W24" s="652"/>
      <c r="X24" s="416"/>
      <c r="Y24" s="652"/>
      <c r="Z24" s="416"/>
      <c r="AA24" s="1627"/>
      <c r="AB24" s="881">
        <f t="shared" si="0"/>
        <v>-279.89999999999998</v>
      </c>
      <c r="AC24" s="416"/>
      <c r="AD24" s="880"/>
      <c r="AE24" s="652">
        <f>+'Exhibit F'!AF22</f>
        <v>-201.5</v>
      </c>
      <c r="AF24" s="416"/>
      <c r="AG24" s="416"/>
      <c r="AH24" s="1042">
        <f>-ROUND(SUM(+AB24-AE24),1)</f>
        <v>78.400000000000006</v>
      </c>
      <c r="AI24" s="1781"/>
      <c r="AJ24" s="2324">
        <f>ROUND(IF(AE24=0,0,AH24/ABS(AE24)),3)</f>
        <v>0.38900000000000001</v>
      </c>
    </row>
    <row r="25" spans="1:36" ht="16.5" customHeight="1">
      <c r="A25" s="1802" t="s">
        <v>1203</v>
      </c>
      <c r="B25" s="1132"/>
      <c r="C25" s="652">
        <f>+'Exhibit F'!D23</f>
        <v>132.5</v>
      </c>
      <c r="D25" s="1010"/>
      <c r="E25" s="652"/>
      <c r="F25" s="1010"/>
      <c r="G25" s="652"/>
      <c r="H25" s="881"/>
      <c r="I25" s="652"/>
      <c r="J25" s="881"/>
      <c r="K25" s="652"/>
      <c r="L25" s="416"/>
      <c r="M25" s="652"/>
      <c r="N25" s="416"/>
      <c r="O25" s="652"/>
      <c r="P25" s="416"/>
      <c r="Q25" s="652"/>
      <c r="R25" s="416"/>
      <c r="S25" s="652"/>
      <c r="T25" s="416"/>
      <c r="U25" s="652"/>
      <c r="V25" s="416"/>
      <c r="W25" s="652"/>
      <c r="X25" s="416"/>
      <c r="Y25" s="652"/>
      <c r="Z25" s="416"/>
      <c r="AA25" s="1627"/>
      <c r="AB25" s="881">
        <f t="shared" si="0"/>
        <v>132.5</v>
      </c>
      <c r="AC25" s="416"/>
      <c r="AD25" s="880"/>
      <c r="AE25" s="652">
        <f>+'Exhibit F'!AF23</f>
        <v>154</v>
      </c>
      <c r="AF25" s="416"/>
      <c r="AG25" s="416"/>
      <c r="AH25" s="1042">
        <f>ROUND(SUM(+AB25-AE25),1)</f>
        <v>-21.5</v>
      </c>
      <c r="AI25" s="1781"/>
      <c r="AJ25" s="2327">
        <f t="shared" ref="AJ25:AJ30" si="1">ROUND(IF(AE25=0,0,AH25/ABS(AE25)),3)</f>
        <v>-0.14000000000000001</v>
      </c>
    </row>
    <row r="26" spans="1:36" ht="16.5" customHeight="1">
      <c r="A26" s="1133" t="s">
        <v>1204</v>
      </c>
      <c r="B26" s="1133"/>
      <c r="C26" s="1136">
        <f>ROUND(SUM(C21:C25),1)</f>
        <v>8778.2000000000007</v>
      </c>
      <c r="D26" s="179"/>
      <c r="E26" s="1136">
        <f>ROUND(SUM(E21:E25),1)</f>
        <v>0</v>
      </c>
      <c r="F26" s="179"/>
      <c r="G26" s="1535">
        <f>ROUND(SUM(G21:G25),1)</f>
        <v>0</v>
      </c>
      <c r="H26" s="416"/>
      <c r="I26" s="1535">
        <f>ROUND(SUM(I21:I25),1)</f>
        <v>0</v>
      </c>
      <c r="J26" s="416"/>
      <c r="K26" s="1535">
        <f>ROUND(SUM(K21:K25),1)</f>
        <v>0</v>
      </c>
      <c r="L26" s="416"/>
      <c r="M26" s="1535">
        <f>ROUND(SUM(M21:M25),1)</f>
        <v>0</v>
      </c>
      <c r="N26" s="416"/>
      <c r="O26" s="1535">
        <f>ROUND(SUM(O21:O25),1)</f>
        <v>0</v>
      </c>
      <c r="P26" s="416"/>
      <c r="Q26" s="1535">
        <f>ROUND(SUM(Q21:Q25),1)</f>
        <v>0</v>
      </c>
      <c r="R26" s="416"/>
      <c r="S26" s="1535">
        <f>ROUND(SUM(S21:S25),1)</f>
        <v>0</v>
      </c>
      <c r="T26" s="416"/>
      <c r="U26" s="1535">
        <f>ROUND(SUM(U21:U25),1)</f>
        <v>0</v>
      </c>
      <c r="V26" s="416"/>
      <c r="W26" s="1535">
        <f>ROUND(SUM(W21:W25),1)</f>
        <v>0</v>
      </c>
      <c r="X26" s="416"/>
      <c r="Y26" s="1535">
        <f>ROUND(SUM(Y21:Y25),1)</f>
        <v>0</v>
      </c>
      <c r="Z26" s="416"/>
      <c r="AA26" s="1627"/>
      <c r="AB26" s="898">
        <f t="shared" si="0"/>
        <v>8778.2000000000007</v>
      </c>
      <c r="AC26" s="416"/>
      <c r="AD26" s="880"/>
      <c r="AE26" s="1535">
        <f>ROUND(SUM(AE21:AE25),1)</f>
        <v>8449.2999999999993</v>
      </c>
      <c r="AF26" s="416"/>
      <c r="AG26" s="416"/>
      <c r="AH26" s="463">
        <f>ROUND(SUM(AB26-AE26),1)</f>
        <v>328.9</v>
      </c>
      <c r="AI26" s="1781"/>
      <c r="AJ26" s="2328">
        <f t="shared" si="1"/>
        <v>3.9E-2</v>
      </c>
    </row>
    <row r="27" spans="1:36" ht="16.5" customHeight="1">
      <c r="A27" s="1802" t="s">
        <v>1206</v>
      </c>
      <c r="B27" s="1132"/>
      <c r="C27" s="2229">
        <v>0</v>
      </c>
      <c r="D27" s="1011"/>
      <c r="E27" s="2229"/>
      <c r="F27" s="1011"/>
      <c r="G27" s="2229"/>
      <c r="H27" s="2325"/>
      <c r="I27" s="2229"/>
      <c r="J27" s="2325"/>
      <c r="K27" s="2229"/>
      <c r="L27" s="2326"/>
      <c r="M27" s="2229"/>
      <c r="N27" s="2326"/>
      <c r="O27" s="2229"/>
      <c r="P27" s="416"/>
      <c r="Q27" s="2229"/>
      <c r="R27" s="416"/>
      <c r="S27" s="2229"/>
      <c r="T27" s="416"/>
      <c r="U27" s="2229"/>
      <c r="V27" s="416"/>
      <c r="W27" s="2229"/>
      <c r="X27" s="416"/>
      <c r="Y27" s="2229"/>
      <c r="Z27" s="416"/>
      <c r="AA27" s="1627"/>
      <c r="AB27" s="881">
        <f t="shared" si="0"/>
        <v>0</v>
      </c>
      <c r="AC27" s="416"/>
      <c r="AD27" s="880"/>
      <c r="AE27" s="2229">
        <f>+'Exhibit F'!AF25+'Exhibit G'!AG18</f>
        <v>0</v>
      </c>
      <c r="AF27" s="416"/>
      <c r="AG27" s="416"/>
      <c r="AH27" s="1042">
        <f>ROUND(SUM(+AB27-AE27),1)</f>
        <v>0</v>
      </c>
      <c r="AI27" s="1781"/>
      <c r="AJ27" s="2324">
        <f t="shared" si="1"/>
        <v>0</v>
      </c>
    </row>
    <row r="28" spans="1:36" ht="16.5" customHeight="1">
      <c r="A28" s="1802" t="s">
        <v>1207</v>
      </c>
      <c r="B28" s="1132"/>
      <c r="C28" s="1015">
        <f>'Exhibit F'!D26+'Exhibit H'!B16</f>
        <v>0</v>
      </c>
      <c r="D28" s="1011"/>
      <c r="E28" s="1015"/>
      <c r="F28" s="1011"/>
      <c r="G28" s="1015"/>
      <c r="H28" s="2325"/>
      <c r="I28" s="1015"/>
      <c r="J28" s="2325"/>
      <c r="K28" s="1015"/>
      <c r="L28" s="2326"/>
      <c r="M28" s="1015"/>
      <c r="N28" s="2326"/>
      <c r="O28" s="1015"/>
      <c r="P28" s="416"/>
      <c r="Q28" s="1015"/>
      <c r="R28" s="416"/>
      <c r="S28" s="1015"/>
      <c r="T28" s="416"/>
      <c r="U28" s="1015"/>
      <c r="V28" s="416"/>
      <c r="W28" s="1015"/>
      <c r="X28" s="416"/>
      <c r="Y28" s="1015"/>
      <c r="Z28" s="416"/>
      <c r="AA28" s="1627"/>
      <c r="AB28" s="881">
        <f t="shared" si="0"/>
        <v>0</v>
      </c>
      <c r="AC28" s="416"/>
      <c r="AD28" s="880"/>
      <c r="AE28" s="1015">
        <f>+'Exhibit F'!AF26+'Exhibit H'!AD16</f>
        <v>0</v>
      </c>
      <c r="AF28" s="416"/>
      <c r="AG28" s="416"/>
      <c r="AH28" s="1042">
        <f>ROUND(SUM(+AB28-AE28),1)</f>
        <v>0</v>
      </c>
      <c r="AI28" s="1781"/>
      <c r="AJ28" s="2324">
        <f t="shared" si="1"/>
        <v>0</v>
      </c>
    </row>
    <row r="29" spans="1:36" ht="16.5" customHeight="1">
      <c r="A29" s="1132" t="s">
        <v>1208</v>
      </c>
      <c r="B29" s="1132"/>
      <c r="C29" s="652">
        <f>+'Exhibit F'!D27</f>
        <v>-2922</v>
      </c>
      <c r="D29" s="1010"/>
      <c r="E29" s="652"/>
      <c r="F29" s="1010"/>
      <c r="G29" s="652"/>
      <c r="H29" s="881"/>
      <c r="I29" s="652"/>
      <c r="J29" s="881"/>
      <c r="K29" s="652"/>
      <c r="L29" s="416"/>
      <c r="M29" s="652"/>
      <c r="N29" s="416"/>
      <c r="O29" s="652"/>
      <c r="P29" s="416"/>
      <c r="Q29" s="652"/>
      <c r="R29" s="416"/>
      <c r="S29" s="652"/>
      <c r="T29" s="416"/>
      <c r="U29" s="652"/>
      <c r="V29" s="416"/>
      <c r="W29" s="652"/>
      <c r="X29" s="416"/>
      <c r="Y29" s="652"/>
      <c r="Z29" s="416"/>
      <c r="AA29" s="1627"/>
      <c r="AB29" s="881">
        <f t="shared" si="0"/>
        <v>-2922</v>
      </c>
      <c r="AC29" s="416"/>
      <c r="AD29" s="880"/>
      <c r="AE29" s="652">
        <f>+'Exhibit F'!AF27</f>
        <v>-3447.5</v>
      </c>
      <c r="AF29" s="416"/>
      <c r="AG29" s="416"/>
      <c r="AH29" s="1042">
        <f>-ROUND(SUM(+AB29-AE29),1)</f>
        <v>-525.5</v>
      </c>
      <c r="AI29" s="1781"/>
      <c r="AJ29" s="2324">
        <f t="shared" si="1"/>
        <v>-0.152</v>
      </c>
    </row>
    <row r="30" spans="1:36" ht="16.5" customHeight="1">
      <c r="A30" s="555" t="s">
        <v>1205</v>
      </c>
      <c r="B30" s="1132"/>
      <c r="C30" s="1535">
        <f>ROUND(SUM(C26)+SUM(C27)+SUM(C28)+SUM(C29),1)</f>
        <v>5856.2</v>
      </c>
      <c r="D30" s="179"/>
      <c r="E30" s="1535">
        <f>ROUND(SUM(E26)+SUM(E27)+SUM(E28)+SUM(E29),1)</f>
        <v>0</v>
      </c>
      <c r="F30" s="179"/>
      <c r="G30" s="1535">
        <f>ROUND(SUM(G26)+SUM(G27)+SUM(G28)+SUM(G29),1)</f>
        <v>0</v>
      </c>
      <c r="H30" s="416"/>
      <c r="I30" s="1535">
        <f>ROUND(SUM(I26)+SUM(I27)+SUM(I28)+SUM(I29),1)</f>
        <v>0</v>
      </c>
      <c r="J30" s="416"/>
      <c r="K30" s="1535">
        <f>ROUND(SUM(K26)+SUM(K27)+SUM(K28)+SUM(K29),1)</f>
        <v>0</v>
      </c>
      <c r="L30" s="416"/>
      <c r="M30" s="1535">
        <f>ROUND(SUM(M26)+SUM(M27)+SUM(M28)+SUM(M29),1)</f>
        <v>0</v>
      </c>
      <c r="N30" s="416"/>
      <c r="O30" s="1535">
        <f>ROUND(SUM(O26)+SUM(O27)+SUM(O28)+SUM(O29),1)</f>
        <v>0</v>
      </c>
      <c r="P30" s="416"/>
      <c r="Q30" s="1535">
        <f>ROUND(SUM(Q26)+SUM(Q27)+SUM(Q28)+SUM(Q29),1)</f>
        <v>0</v>
      </c>
      <c r="R30" s="416"/>
      <c r="S30" s="1535">
        <f>ROUND(SUM(S26)+SUM(S27)+SUM(S28)+SUM(S29),1)</f>
        <v>0</v>
      </c>
      <c r="T30" s="416"/>
      <c r="U30" s="1535">
        <f>ROUND(SUM(U26)+SUM(U27)+SUM(U28)+SUM(U29),1)</f>
        <v>0</v>
      </c>
      <c r="V30" s="416"/>
      <c r="W30" s="1535">
        <f>ROUND(SUM(W26)+SUM(W27)+SUM(W28)+SUM(W29),1)</f>
        <v>0</v>
      </c>
      <c r="X30" s="416"/>
      <c r="Y30" s="1535">
        <f>ROUND(SUM(Y26)+SUM(Y27)+SUM(Y28)+SUM(Y29),1)</f>
        <v>0</v>
      </c>
      <c r="Z30" s="416"/>
      <c r="AA30" s="1627"/>
      <c r="AB30" s="898">
        <f t="shared" si="0"/>
        <v>5856.2</v>
      </c>
      <c r="AC30" s="416"/>
      <c r="AD30" s="880"/>
      <c r="AE30" s="1535">
        <f>ROUND(SUM(AE26)+SUM(AE27)+SUM(AE28)+SUM(AE29),1)</f>
        <v>5001.8</v>
      </c>
      <c r="AF30" s="416"/>
      <c r="AG30" s="416"/>
      <c r="AH30" s="463">
        <f>ROUND(SUM(AH26+AH27+AH28-AH29),1)</f>
        <v>854.4</v>
      </c>
      <c r="AI30" s="1608"/>
      <c r="AJ30" s="2328">
        <f t="shared" si="1"/>
        <v>0.17100000000000001</v>
      </c>
    </row>
    <row r="31" spans="1:36" ht="16.5" customHeight="1">
      <c r="A31" s="1768" t="s">
        <v>1261</v>
      </c>
      <c r="B31" s="1137"/>
      <c r="C31" s="992"/>
      <c r="D31" s="992"/>
      <c r="E31" s="992"/>
      <c r="F31" s="992"/>
      <c r="G31" s="992"/>
      <c r="H31" s="416"/>
      <c r="I31" s="992"/>
      <c r="J31" s="416"/>
      <c r="K31" s="992"/>
      <c r="L31" s="416"/>
      <c r="M31" s="992"/>
      <c r="N31" s="416"/>
      <c r="O31" s="992"/>
      <c r="P31" s="416"/>
      <c r="Q31" s="992"/>
      <c r="R31" s="416"/>
      <c r="S31" s="992"/>
      <c r="T31" s="416"/>
      <c r="U31" s="992"/>
      <c r="V31" s="416"/>
      <c r="W31" s="992"/>
      <c r="X31" s="416"/>
      <c r="Y31" s="992"/>
      <c r="Z31" s="416"/>
      <c r="AA31" s="1627"/>
      <c r="AB31" s="416"/>
      <c r="AC31" s="416"/>
      <c r="AD31" s="880"/>
      <c r="AE31" s="878"/>
      <c r="AF31" s="416"/>
      <c r="AG31" s="416"/>
      <c r="AH31" s="264"/>
      <c r="AI31" s="1608"/>
      <c r="AJ31" s="1767"/>
    </row>
    <row r="32" spans="1:36" ht="16.5" customHeight="1">
      <c r="A32" s="1132" t="s">
        <v>1211</v>
      </c>
      <c r="B32" s="1137"/>
      <c r="C32" s="652">
        <f>+'Exhibit F'!D30+'Exhibit G'!D21+'Exhibit H'!B19</f>
        <v>1112.9000000000001</v>
      </c>
      <c r="D32" s="1010"/>
      <c r="E32" s="652"/>
      <c r="F32" s="1010"/>
      <c r="G32" s="652"/>
      <c r="H32" s="881"/>
      <c r="I32" s="652"/>
      <c r="J32" s="881"/>
      <c r="K32" s="652"/>
      <c r="L32" s="416"/>
      <c r="M32" s="652"/>
      <c r="N32" s="416"/>
      <c r="O32" s="652"/>
      <c r="P32" s="416"/>
      <c r="Q32" s="652"/>
      <c r="R32" s="416"/>
      <c r="S32" s="652"/>
      <c r="T32" s="416"/>
      <c r="U32" s="652"/>
      <c r="V32" s="416"/>
      <c r="W32" s="652"/>
      <c r="X32" s="416"/>
      <c r="Y32" s="652"/>
      <c r="Z32" s="416"/>
      <c r="AA32" s="1627"/>
      <c r="AB32" s="881">
        <f t="shared" ref="AB32:AB39" si="2">ROUND(SUM(C32:Y32),1)</f>
        <v>1112.9000000000001</v>
      </c>
      <c r="AC32" s="416"/>
      <c r="AD32" s="880"/>
      <c r="AE32" s="652">
        <f>+'Exhibit F'!AF30+'Exhibit G'!AG21+'Exhibit H'!AD19</f>
        <v>1042.9000000000001</v>
      </c>
      <c r="AF32" s="416"/>
      <c r="AG32" s="416"/>
      <c r="AH32" s="1042">
        <f t="shared" ref="AH32:AH39" si="3">ROUND(SUM(+AB32-AE32),1)</f>
        <v>70</v>
      </c>
      <c r="AI32" s="1608"/>
      <c r="AJ32" s="1565">
        <f t="shared" ref="AJ32:AJ40" si="4">ROUND(IF(AE32=0,0,AH32/ABS(AE32)),3)</f>
        <v>6.7000000000000004E-2</v>
      </c>
    </row>
    <row r="33" spans="1:36" ht="16.5" customHeight="1">
      <c r="A33" s="1132" t="s">
        <v>1212</v>
      </c>
      <c r="B33" s="1137"/>
      <c r="C33" s="652">
        <f>+'Exhibit F'!D31+'Exhibit G'!D22+'Exhibit I'!E20</f>
        <v>1.5</v>
      </c>
      <c r="D33" s="1010"/>
      <c r="E33" s="652"/>
      <c r="F33" s="1010"/>
      <c r="G33" s="652"/>
      <c r="H33" s="881"/>
      <c r="I33" s="652"/>
      <c r="J33" s="881"/>
      <c r="K33" s="652"/>
      <c r="L33" s="416"/>
      <c r="M33" s="652"/>
      <c r="N33" s="416"/>
      <c r="O33" s="652"/>
      <c r="P33" s="416"/>
      <c r="Q33" s="652"/>
      <c r="R33" s="416"/>
      <c r="S33" s="652"/>
      <c r="T33" s="416"/>
      <c r="U33" s="652"/>
      <c r="V33" s="416"/>
      <c r="W33" s="652"/>
      <c r="X33" s="416"/>
      <c r="Y33" s="652"/>
      <c r="Z33" s="416"/>
      <c r="AA33" s="1627"/>
      <c r="AB33" s="881">
        <f t="shared" si="2"/>
        <v>1.5</v>
      </c>
      <c r="AC33" s="416"/>
      <c r="AD33" s="880"/>
      <c r="AE33" s="652">
        <f>+'Exhibit F'!AF31+'Exhibit G'!AG22+'Exhibit I'!AI20</f>
        <v>11.7</v>
      </c>
      <c r="AF33" s="416"/>
      <c r="AG33" s="416"/>
      <c r="AH33" s="1042">
        <f t="shared" si="3"/>
        <v>-10.199999999999999</v>
      </c>
      <c r="AI33" s="1608"/>
      <c r="AJ33" s="1565">
        <f t="shared" si="4"/>
        <v>-0.872</v>
      </c>
    </row>
    <row r="34" spans="1:36" ht="16.5" customHeight="1">
      <c r="A34" s="1132" t="s">
        <v>1213</v>
      </c>
      <c r="B34" s="1132"/>
      <c r="C34" s="652">
        <f>+'Exhibit F'!D32+'Exhibit G'!D23</f>
        <v>88</v>
      </c>
      <c r="D34" s="1010"/>
      <c r="E34" s="652"/>
      <c r="F34" s="1010"/>
      <c r="G34" s="652"/>
      <c r="H34" s="881"/>
      <c r="I34" s="652"/>
      <c r="J34" s="881"/>
      <c r="K34" s="652"/>
      <c r="L34" s="416"/>
      <c r="M34" s="652"/>
      <c r="N34" s="416"/>
      <c r="O34" s="652"/>
      <c r="P34" s="416"/>
      <c r="Q34" s="652"/>
      <c r="R34" s="416"/>
      <c r="S34" s="652"/>
      <c r="T34" s="416"/>
      <c r="U34" s="652"/>
      <c r="V34" s="416"/>
      <c r="W34" s="652"/>
      <c r="X34" s="416"/>
      <c r="Y34" s="652"/>
      <c r="Z34" s="416"/>
      <c r="AA34" s="1627"/>
      <c r="AB34" s="881">
        <f t="shared" si="2"/>
        <v>88</v>
      </c>
      <c r="AC34" s="416"/>
      <c r="AD34" s="880"/>
      <c r="AE34" s="652">
        <f>+'Exhibit F'!AF32+'Exhibit G'!AG23</f>
        <v>87.699999999999989</v>
      </c>
      <c r="AF34" s="416"/>
      <c r="AG34" s="416"/>
      <c r="AH34" s="1042">
        <f t="shared" si="3"/>
        <v>0.3</v>
      </c>
      <c r="AI34" s="1608"/>
      <c r="AJ34" s="1565">
        <f t="shared" si="4"/>
        <v>3.0000000000000001E-3</v>
      </c>
    </row>
    <row r="35" spans="1:36" ht="16.5" customHeight="1">
      <c r="A35" s="1132" t="s">
        <v>1377</v>
      </c>
      <c r="B35" s="1132"/>
      <c r="C35" s="652">
        <f>+'Exhibit G'!D24</f>
        <v>0.2</v>
      </c>
      <c r="D35" s="1010"/>
      <c r="E35" s="652"/>
      <c r="F35" s="1010"/>
      <c r="G35" s="652"/>
      <c r="H35" s="881"/>
      <c r="I35" s="652"/>
      <c r="J35" s="881"/>
      <c r="K35" s="652"/>
      <c r="L35" s="2504"/>
      <c r="M35" s="652"/>
      <c r="N35" s="2504"/>
      <c r="O35" s="652"/>
      <c r="P35" s="2504"/>
      <c r="Q35" s="652"/>
      <c r="R35" s="2504"/>
      <c r="S35" s="652"/>
      <c r="T35" s="2504"/>
      <c r="U35" s="652"/>
      <c r="V35" s="2504"/>
      <c r="W35" s="652"/>
      <c r="X35" s="2504"/>
      <c r="Y35" s="652"/>
      <c r="Z35" s="2504"/>
      <c r="AA35" s="1627"/>
      <c r="AB35" s="881">
        <f t="shared" si="2"/>
        <v>0.2</v>
      </c>
      <c r="AC35" s="2504"/>
      <c r="AD35" s="880"/>
      <c r="AE35" s="652">
        <f>'Exhibit G'!AG24</f>
        <v>0.1</v>
      </c>
      <c r="AF35" s="2504"/>
      <c r="AG35" s="2504"/>
      <c r="AH35" s="2502">
        <f>ROUND(SUM(+AB35-AE35),1)</f>
        <v>0.1</v>
      </c>
      <c r="AI35" s="1608"/>
      <c r="AJ35" s="1565">
        <f>ROUND(IF(AE35=0,0,AH35/ABS(AE35)),3)</f>
        <v>1</v>
      </c>
    </row>
    <row r="36" spans="1:36" ht="16.5" customHeight="1">
      <c r="A36" s="1132" t="s">
        <v>1214</v>
      </c>
      <c r="B36" s="1132"/>
      <c r="C36" s="652">
        <f>+'Exhibit F'!D33+'Exhibit G'!D25+'Exhibit I'!E21</f>
        <v>38.9</v>
      </c>
      <c r="D36" s="1010"/>
      <c r="E36" s="652"/>
      <c r="F36" s="1010"/>
      <c r="G36" s="652"/>
      <c r="H36" s="881"/>
      <c r="I36" s="652"/>
      <c r="J36" s="881"/>
      <c r="K36" s="652"/>
      <c r="L36" s="416"/>
      <c r="M36" s="652"/>
      <c r="N36" s="416"/>
      <c r="O36" s="652"/>
      <c r="P36" s="416"/>
      <c r="Q36" s="652"/>
      <c r="R36" s="416"/>
      <c r="S36" s="652"/>
      <c r="T36" s="416"/>
      <c r="U36" s="652"/>
      <c r="V36" s="416"/>
      <c r="W36" s="652"/>
      <c r="X36" s="416"/>
      <c r="Y36" s="652"/>
      <c r="Z36" s="416"/>
      <c r="AA36" s="1627"/>
      <c r="AB36" s="881">
        <f t="shared" si="2"/>
        <v>38.9</v>
      </c>
      <c r="AC36" s="416"/>
      <c r="AD36" s="880"/>
      <c r="AE36" s="652">
        <f>+'Exhibit F'!AF33+'Exhibit G'!AG25+'Exhibit I'!AI21</f>
        <v>41.4</v>
      </c>
      <c r="AF36" s="416"/>
      <c r="AG36" s="416"/>
      <c r="AH36" s="1042">
        <f t="shared" si="3"/>
        <v>-2.5</v>
      </c>
      <c r="AI36" s="1608"/>
      <c r="AJ36" s="1565">
        <f t="shared" si="4"/>
        <v>-0.06</v>
      </c>
    </row>
    <row r="37" spans="1:36" ht="16.5" customHeight="1">
      <c r="A37" s="1132" t="s">
        <v>1215</v>
      </c>
      <c r="B37" s="1132"/>
      <c r="C37" s="652">
        <f>+'Exhibit F'!D34+'Exhibit G'!D26</f>
        <v>7.5</v>
      </c>
      <c r="D37" s="1010"/>
      <c r="E37" s="652"/>
      <c r="F37" s="1010"/>
      <c r="G37" s="652"/>
      <c r="H37" s="881"/>
      <c r="I37" s="652"/>
      <c r="J37" s="881"/>
      <c r="K37" s="652"/>
      <c r="L37" s="416"/>
      <c r="M37" s="652"/>
      <c r="N37" s="416"/>
      <c r="O37" s="652"/>
      <c r="P37" s="416"/>
      <c r="Q37" s="652"/>
      <c r="R37" s="416"/>
      <c r="S37" s="652"/>
      <c r="T37" s="416"/>
      <c r="U37" s="652"/>
      <c r="V37" s="416"/>
      <c r="W37" s="652"/>
      <c r="X37" s="416"/>
      <c r="Y37" s="652"/>
      <c r="Z37" s="416"/>
      <c r="AA37" s="1627"/>
      <c r="AB37" s="881">
        <f t="shared" si="2"/>
        <v>7.5</v>
      </c>
      <c r="AC37" s="416"/>
      <c r="AD37" s="880"/>
      <c r="AE37" s="652">
        <f>+'Exhibit F'!AF34+'Exhibit G'!AG26</f>
        <v>21</v>
      </c>
      <c r="AF37" s="416"/>
      <c r="AG37" s="416"/>
      <c r="AH37" s="1042">
        <f t="shared" si="3"/>
        <v>-13.5</v>
      </c>
      <c r="AI37" s="1608"/>
      <c r="AJ37" s="1565">
        <f t="shared" si="4"/>
        <v>-0.64300000000000002</v>
      </c>
    </row>
    <row r="38" spans="1:36" ht="16.5" customHeight="1">
      <c r="A38" s="1132" t="s">
        <v>1216</v>
      </c>
      <c r="B38" s="1132"/>
      <c r="C38" s="652">
        <f>+'Exhibit F'!D35+'Exhibit G'!D27+'Exhibit I'!E22</f>
        <v>15.600000000000001</v>
      </c>
      <c r="D38" s="1010"/>
      <c r="E38" s="652"/>
      <c r="F38" s="1010"/>
      <c r="G38" s="652"/>
      <c r="H38" s="881"/>
      <c r="I38" s="652"/>
      <c r="J38" s="881"/>
      <c r="K38" s="652"/>
      <c r="L38" s="416"/>
      <c r="M38" s="652"/>
      <c r="N38" s="416"/>
      <c r="O38" s="652"/>
      <c r="P38" s="416"/>
      <c r="Q38" s="652"/>
      <c r="R38" s="416"/>
      <c r="S38" s="652"/>
      <c r="T38" s="416"/>
      <c r="U38" s="652"/>
      <c r="V38" s="416"/>
      <c r="W38" s="652"/>
      <c r="X38" s="416"/>
      <c r="Y38" s="652"/>
      <c r="Z38" s="416"/>
      <c r="AA38" s="1627"/>
      <c r="AB38" s="881">
        <f t="shared" si="2"/>
        <v>15.6</v>
      </c>
      <c r="AC38" s="416"/>
      <c r="AD38" s="880"/>
      <c r="AE38" s="652">
        <f>+'Exhibit F'!AF35+'Exhibit G'!AG27+'Exhibit I'!AI22</f>
        <v>11.6</v>
      </c>
      <c r="AF38" s="416"/>
      <c r="AG38" s="416"/>
      <c r="AH38" s="1042">
        <f t="shared" si="3"/>
        <v>4</v>
      </c>
      <c r="AI38" s="1608"/>
      <c r="AJ38" s="1565">
        <f t="shared" si="4"/>
        <v>0.34499999999999997</v>
      </c>
    </row>
    <row r="39" spans="1:36" ht="16.5" customHeight="1">
      <c r="A39" s="1803" t="s">
        <v>1217</v>
      </c>
      <c r="B39" s="1132"/>
      <c r="C39" s="652">
        <f>+'Exhibit F'!D36+'Exhibit G'!D28</f>
        <v>12.8</v>
      </c>
      <c r="D39" s="1010"/>
      <c r="E39" s="652"/>
      <c r="F39" s="1010"/>
      <c r="G39" s="652"/>
      <c r="H39" s="881"/>
      <c r="I39" s="652"/>
      <c r="J39" s="881"/>
      <c r="K39" s="652"/>
      <c r="L39" s="416"/>
      <c r="M39" s="652"/>
      <c r="N39" s="416"/>
      <c r="O39" s="652"/>
      <c r="P39" s="416"/>
      <c r="Q39" s="652"/>
      <c r="R39" s="416"/>
      <c r="S39" s="652"/>
      <c r="T39" s="416"/>
      <c r="U39" s="652"/>
      <c r="V39" s="416"/>
      <c r="W39" s="652"/>
      <c r="X39" s="416"/>
      <c r="Y39" s="652"/>
      <c r="Z39" s="416"/>
      <c r="AA39" s="1627"/>
      <c r="AB39" s="881">
        <f t="shared" si="2"/>
        <v>12.8</v>
      </c>
      <c r="AC39" s="416"/>
      <c r="AD39" s="880"/>
      <c r="AE39" s="652">
        <f>+'Exhibit F'!AF36+'Exhibit G'!AG28</f>
        <v>13.4</v>
      </c>
      <c r="AF39" s="416"/>
      <c r="AG39" s="416"/>
      <c r="AH39" s="1042">
        <f t="shared" si="3"/>
        <v>-0.6</v>
      </c>
      <c r="AI39" s="1608"/>
      <c r="AJ39" s="1565">
        <f t="shared" si="4"/>
        <v>-4.4999999999999998E-2</v>
      </c>
    </row>
    <row r="40" spans="1:36" ht="16.5" customHeight="1">
      <c r="A40" s="555" t="s">
        <v>1210</v>
      </c>
      <c r="B40" s="1132"/>
      <c r="C40" s="1535">
        <f>ROUND(SUM(C32:C39),1)</f>
        <v>1277.4000000000001</v>
      </c>
      <c r="D40" s="179"/>
      <c r="E40" s="1535">
        <f>ROUND(SUM(E32:E39),1)</f>
        <v>0</v>
      </c>
      <c r="F40" s="179"/>
      <c r="G40" s="1535">
        <f>ROUND(SUM(G32:G39),1)</f>
        <v>0</v>
      </c>
      <c r="H40" s="416"/>
      <c r="I40" s="1535">
        <f>ROUND(SUM(I32:I39),1)</f>
        <v>0</v>
      </c>
      <c r="J40" s="416"/>
      <c r="K40" s="1535">
        <f>ROUND(SUM(K32:K39),1)</f>
        <v>0</v>
      </c>
      <c r="L40" s="416"/>
      <c r="M40" s="1535">
        <f>ROUND(SUM(M32:M39),1)</f>
        <v>0</v>
      </c>
      <c r="N40" s="416"/>
      <c r="O40" s="1535">
        <f>ROUND(SUM(O32:O39),1)</f>
        <v>0</v>
      </c>
      <c r="P40" s="416"/>
      <c r="Q40" s="1535">
        <f>ROUND(SUM(Q32:Q39),1)</f>
        <v>0</v>
      </c>
      <c r="R40" s="416"/>
      <c r="S40" s="1535">
        <f>ROUND(SUM(S32:S39),1)</f>
        <v>0</v>
      </c>
      <c r="T40" s="416"/>
      <c r="U40" s="1535">
        <f>ROUND(SUM(U32:U39),1)</f>
        <v>0</v>
      </c>
      <c r="V40" s="416"/>
      <c r="W40" s="1535">
        <f>ROUND(SUM(W32:W39),1)</f>
        <v>0</v>
      </c>
      <c r="X40" s="416"/>
      <c r="Y40" s="1535">
        <f>ROUND(SUM(Y32:Y39),1)</f>
        <v>0</v>
      </c>
      <c r="Z40" s="416"/>
      <c r="AA40" s="1627"/>
      <c r="AB40" s="1535">
        <f>ROUND(SUM(AB32:AB39),1)</f>
        <v>1277.4000000000001</v>
      </c>
      <c r="AC40" s="416"/>
      <c r="AD40" s="880"/>
      <c r="AE40" s="1535">
        <f>ROUND(SUM(AE32:AE39),1)</f>
        <v>1229.8</v>
      </c>
      <c r="AF40" s="416"/>
      <c r="AG40" s="416"/>
      <c r="AH40" s="463">
        <f>ROUND(SUM(AH32:AH39),1)</f>
        <v>47.6</v>
      </c>
      <c r="AI40" s="264"/>
      <c r="AJ40" s="70">
        <f t="shared" si="4"/>
        <v>3.9E-2</v>
      </c>
    </row>
    <row r="41" spans="1:36" ht="16.5" customHeight="1">
      <c r="A41" s="1768" t="s">
        <v>1262</v>
      </c>
      <c r="B41" s="1132"/>
      <c r="C41" s="992"/>
      <c r="D41" s="992"/>
      <c r="E41" s="992"/>
      <c r="F41" s="992"/>
      <c r="G41" s="992"/>
      <c r="H41" s="416"/>
      <c r="I41" s="992"/>
      <c r="J41" s="416"/>
      <c r="K41" s="992"/>
      <c r="L41" s="416"/>
      <c r="M41" s="992"/>
      <c r="N41" s="416"/>
      <c r="O41" s="992"/>
      <c r="P41" s="416"/>
      <c r="Q41" s="992"/>
      <c r="R41" s="416"/>
      <c r="S41" s="992"/>
      <c r="T41" s="416"/>
      <c r="U41" s="992"/>
      <c r="V41" s="416"/>
      <c r="W41" s="992"/>
      <c r="X41" s="416"/>
      <c r="Y41" s="992"/>
      <c r="Z41" s="416"/>
      <c r="AA41" s="1627"/>
      <c r="AB41" s="416"/>
      <c r="AC41" s="416"/>
      <c r="AD41" s="880"/>
      <c r="AE41" s="878"/>
      <c r="AF41" s="416"/>
      <c r="AG41" s="416"/>
      <c r="AH41" s="264"/>
      <c r="AI41" s="264"/>
      <c r="AJ41" s="1767"/>
    </row>
    <row r="42" spans="1:36" ht="16.5" customHeight="1">
      <c r="A42" s="1132" t="s">
        <v>1219</v>
      </c>
      <c r="B42" s="1132"/>
      <c r="C42" s="652">
        <f>+'Exhibit F'!D39+'Exhibit G'!D31+'Exhibit I'!E25</f>
        <v>455.1</v>
      </c>
      <c r="D42" s="1010"/>
      <c r="E42" s="652"/>
      <c r="F42" s="1010"/>
      <c r="G42" s="652"/>
      <c r="H42" s="881"/>
      <c r="I42" s="652"/>
      <c r="J42" s="881"/>
      <c r="K42" s="652"/>
      <c r="L42" s="416"/>
      <c r="M42" s="652"/>
      <c r="N42" s="416"/>
      <c r="O42" s="652"/>
      <c r="P42" s="416"/>
      <c r="Q42" s="652"/>
      <c r="R42" s="416"/>
      <c r="S42" s="652"/>
      <c r="T42" s="416"/>
      <c r="U42" s="652"/>
      <c r="V42" s="416"/>
      <c r="W42" s="652"/>
      <c r="X42" s="416"/>
      <c r="Y42" s="652"/>
      <c r="Z42" s="416"/>
      <c r="AA42" s="1627"/>
      <c r="AB42" s="881">
        <f>ROUND(SUM(C42:Y42),1)</f>
        <v>455.1</v>
      </c>
      <c r="AC42" s="416"/>
      <c r="AD42" s="880"/>
      <c r="AE42" s="652">
        <f>+'Exhibit F'!AF39+'Exhibit G'!AG31+'Exhibit I'!AI25</f>
        <v>430.09999999999997</v>
      </c>
      <c r="AF42" s="416"/>
      <c r="AG42" s="416"/>
      <c r="AH42" s="1042">
        <f>ROUND(SUM(+AB42-AE42),1)</f>
        <v>25</v>
      </c>
      <c r="AI42" s="264"/>
      <c r="AJ42" s="1565">
        <f t="shared" ref="AJ42:AJ47" si="5">ROUND(IF(AE42=0,0,AH42/ABS(AE42)),3)</f>
        <v>5.8000000000000003E-2</v>
      </c>
    </row>
    <row r="43" spans="1:36" ht="16.5" customHeight="1">
      <c r="A43" s="1132" t="s">
        <v>1220</v>
      </c>
      <c r="B43" s="1132"/>
      <c r="C43" s="652">
        <f>+'Exhibit F'!D40+'Exhibit G'!D32+'Exhibit I'!E26</f>
        <v>26.400000000000002</v>
      </c>
      <c r="D43" s="1010"/>
      <c r="E43" s="652"/>
      <c r="F43" s="1010"/>
      <c r="G43" s="652"/>
      <c r="H43" s="881"/>
      <c r="I43" s="652"/>
      <c r="J43" s="881"/>
      <c r="K43" s="652"/>
      <c r="L43" s="416"/>
      <c r="M43" s="652"/>
      <c r="N43" s="416"/>
      <c r="O43" s="652"/>
      <c r="P43" s="416"/>
      <c r="Q43" s="652"/>
      <c r="R43" s="416"/>
      <c r="S43" s="652"/>
      <c r="T43" s="416"/>
      <c r="U43" s="652"/>
      <c r="V43" s="416"/>
      <c r="W43" s="652"/>
      <c r="X43" s="416"/>
      <c r="Y43" s="652"/>
      <c r="Z43" s="416"/>
      <c r="AA43" s="1627"/>
      <c r="AB43" s="881">
        <f>ROUND(SUM(C43:Y43),1)</f>
        <v>26.4</v>
      </c>
      <c r="AC43" s="416"/>
      <c r="AD43" s="880"/>
      <c r="AE43" s="652">
        <f>+'Exhibit F'!AF40+'Exhibit G'!AG32+'Exhibit I'!AI26</f>
        <v>40.6</v>
      </c>
      <c r="AF43" s="416"/>
      <c r="AG43" s="416"/>
      <c r="AH43" s="1042">
        <f>ROUND(SUM(+AB43-AE43),1)</f>
        <v>-14.2</v>
      </c>
      <c r="AI43" s="264"/>
      <c r="AJ43" s="1565">
        <f t="shared" si="5"/>
        <v>-0.35</v>
      </c>
    </row>
    <row r="44" spans="1:36" ht="16.5" customHeight="1">
      <c r="A44" s="1132" t="s">
        <v>1221</v>
      </c>
      <c r="B44" s="1132"/>
      <c r="C44" s="652">
        <f>+'Exhibit F'!D41+'Exhibit G'!D33</f>
        <v>46.199999999999996</v>
      </c>
      <c r="D44" s="1010"/>
      <c r="E44" s="652"/>
      <c r="F44" s="1010"/>
      <c r="G44" s="652"/>
      <c r="H44" s="881"/>
      <c r="I44" s="652"/>
      <c r="J44" s="881"/>
      <c r="K44" s="652"/>
      <c r="L44" s="416"/>
      <c r="M44" s="652"/>
      <c r="N44" s="416"/>
      <c r="O44" s="652"/>
      <c r="P44" s="416"/>
      <c r="Q44" s="652"/>
      <c r="R44" s="416"/>
      <c r="S44" s="652"/>
      <c r="T44" s="416"/>
      <c r="U44" s="652"/>
      <c r="V44" s="416"/>
      <c r="W44" s="652"/>
      <c r="X44" s="416"/>
      <c r="Y44" s="652"/>
      <c r="Z44" s="416"/>
      <c r="AA44" s="1627"/>
      <c r="AB44" s="881">
        <f>ROUND(SUM(C44:Y44),1)</f>
        <v>46.2</v>
      </c>
      <c r="AC44" s="416"/>
      <c r="AD44" s="880"/>
      <c r="AE44" s="652">
        <f>+'Exhibit F'!AF41+'Exhibit G'!AG33</f>
        <v>45.5</v>
      </c>
      <c r="AF44" s="416"/>
      <c r="AG44" s="416"/>
      <c r="AH44" s="1042">
        <f>ROUND(SUM(+AB44-AE44),1)</f>
        <v>0.7</v>
      </c>
      <c r="AI44" s="264"/>
      <c r="AJ44" s="1565">
        <f t="shared" si="5"/>
        <v>1.4999999999999999E-2</v>
      </c>
    </row>
    <row r="45" spans="1:36" ht="16.5" customHeight="1">
      <c r="A45" s="1132" t="s">
        <v>1222</v>
      </c>
      <c r="B45" s="1132"/>
      <c r="C45" s="652">
        <f>+'Exhibit F'!D42+'Exhibit G'!D34</f>
        <v>-32.6</v>
      </c>
      <c r="D45" s="1010"/>
      <c r="E45" s="652"/>
      <c r="F45" s="1010"/>
      <c r="G45" s="652"/>
      <c r="H45" s="881"/>
      <c r="I45" s="652"/>
      <c r="J45" s="881"/>
      <c r="K45" s="652"/>
      <c r="L45" s="416"/>
      <c r="M45" s="652"/>
      <c r="N45" s="416"/>
      <c r="O45" s="652"/>
      <c r="P45" s="416"/>
      <c r="Q45" s="652"/>
      <c r="R45" s="416"/>
      <c r="S45" s="652"/>
      <c r="T45" s="416"/>
      <c r="U45" s="652"/>
      <c r="V45" s="416"/>
      <c r="W45" s="652"/>
      <c r="X45" s="416"/>
      <c r="Y45" s="652"/>
      <c r="Z45" s="416"/>
      <c r="AA45" s="1627"/>
      <c r="AB45" s="881">
        <f>ROUND(SUM(C45:Y45),1)</f>
        <v>-32.6</v>
      </c>
      <c r="AC45" s="416"/>
      <c r="AD45" s="880"/>
      <c r="AE45" s="652">
        <f>+'Exhibit F'!AF42+'Exhibit G'!AG34</f>
        <v>4.3</v>
      </c>
      <c r="AF45" s="416"/>
      <c r="AG45" s="416"/>
      <c r="AH45" s="1042">
        <f>ROUND(SUM(+AB45-AE45),1)</f>
        <v>-36.9</v>
      </c>
      <c r="AI45" s="264"/>
      <c r="AJ45" s="1565">
        <f t="shared" si="5"/>
        <v>-8.5809999999999995</v>
      </c>
    </row>
    <row r="46" spans="1:36" ht="16.5" customHeight="1">
      <c r="A46" s="1132" t="s">
        <v>1223</v>
      </c>
      <c r="B46" s="1132"/>
      <c r="C46" s="652">
        <f>+'Exhibit F'!D43+'Exhibit G'!D35+'Exhibit I'!E27</f>
        <v>90</v>
      </c>
      <c r="D46" s="1010"/>
      <c r="E46" s="652"/>
      <c r="F46" s="1010"/>
      <c r="G46" s="652"/>
      <c r="H46" s="881"/>
      <c r="I46" s="652"/>
      <c r="J46" s="881"/>
      <c r="K46" s="652"/>
      <c r="L46" s="416"/>
      <c r="M46" s="652"/>
      <c r="N46" s="416"/>
      <c r="O46" s="652"/>
      <c r="P46" s="416"/>
      <c r="Q46" s="652"/>
      <c r="R46" s="416"/>
      <c r="S46" s="652"/>
      <c r="T46" s="416"/>
      <c r="U46" s="652"/>
      <c r="V46" s="416"/>
      <c r="W46" s="652"/>
      <c r="X46" s="416"/>
      <c r="Y46" s="652"/>
      <c r="Z46" s="416"/>
      <c r="AA46" s="1627"/>
      <c r="AB46" s="881">
        <f>ROUND(SUM(C46:Y46),1)</f>
        <v>90</v>
      </c>
      <c r="AC46" s="416"/>
      <c r="AD46" s="880"/>
      <c r="AE46" s="652">
        <f>+'Exhibit F'!AF43+'Exhibit G'!AG35+'Exhibit I'!AI27</f>
        <v>82.699999999999989</v>
      </c>
      <c r="AF46" s="416"/>
      <c r="AG46" s="416"/>
      <c r="AH46" s="1042">
        <f>ROUND(SUM(+AB46-AE46),1)</f>
        <v>7.3</v>
      </c>
      <c r="AI46" s="264"/>
      <c r="AJ46" s="1565">
        <f t="shared" si="5"/>
        <v>8.7999999999999995E-2</v>
      </c>
    </row>
    <row r="47" spans="1:36" ht="16.5" customHeight="1">
      <c r="A47" s="555" t="s">
        <v>1218</v>
      </c>
      <c r="B47" s="1132"/>
      <c r="C47" s="1535">
        <f>ROUND(SUM(C42:C46),1)</f>
        <v>585.1</v>
      </c>
      <c r="D47" s="179"/>
      <c r="E47" s="1535">
        <f>ROUND(SUM(E42:E46),1)</f>
        <v>0</v>
      </c>
      <c r="F47" s="179"/>
      <c r="G47" s="1535">
        <f>ROUND(SUM(G42:G46),1)</f>
        <v>0</v>
      </c>
      <c r="H47" s="416"/>
      <c r="I47" s="1535">
        <f>ROUND(SUM(I42:I46),1)</f>
        <v>0</v>
      </c>
      <c r="J47" s="416"/>
      <c r="K47" s="1535">
        <f>ROUND(SUM(K42:K46),1)</f>
        <v>0</v>
      </c>
      <c r="L47" s="416"/>
      <c r="M47" s="1535">
        <f>ROUND(SUM(M42:M46),1)</f>
        <v>0</v>
      </c>
      <c r="N47" s="416"/>
      <c r="O47" s="1535">
        <f>ROUND(SUM(O42:O46),1)</f>
        <v>0</v>
      </c>
      <c r="P47" s="416"/>
      <c r="Q47" s="1535">
        <f>ROUND(SUM(Q42:Q46),1)</f>
        <v>0</v>
      </c>
      <c r="R47" s="416"/>
      <c r="S47" s="1535">
        <f>ROUND(SUM(S42:S46),1)</f>
        <v>0</v>
      </c>
      <c r="T47" s="416"/>
      <c r="U47" s="1535">
        <f>ROUND(SUM(U42:U46),1)</f>
        <v>0</v>
      </c>
      <c r="V47" s="416"/>
      <c r="W47" s="1535">
        <f>ROUND(SUM(W42:W46),1)</f>
        <v>0</v>
      </c>
      <c r="X47" s="416"/>
      <c r="Y47" s="1535">
        <f>ROUND(SUM(Y42:Y46),1)</f>
        <v>0</v>
      </c>
      <c r="Z47" s="416"/>
      <c r="AA47" s="1627"/>
      <c r="AB47" s="1535">
        <f>ROUND(SUM(AB42:AB46),1)</f>
        <v>585.1</v>
      </c>
      <c r="AC47" s="416"/>
      <c r="AD47" s="880"/>
      <c r="AE47" s="1535">
        <f>ROUND(SUM(AE42:AE46),1)</f>
        <v>603.20000000000005</v>
      </c>
      <c r="AF47" s="416"/>
      <c r="AG47" s="416"/>
      <c r="AH47" s="1535">
        <f>ROUND(SUM(AH42:AH46),1)</f>
        <v>-18.100000000000001</v>
      </c>
      <c r="AI47" s="264"/>
      <c r="AJ47" s="70">
        <f t="shared" si="5"/>
        <v>-0.03</v>
      </c>
    </row>
    <row r="48" spans="1:36" ht="16.5" customHeight="1">
      <c r="A48" s="1768" t="s">
        <v>1263</v>
      </c>
      <c r="B48" s="1132"/>
      <c r="C48" s="992"/>
      <c r="D48" s="992"/>
      <c r="E48" s="992"/>
      <c r="F48" s="992"/>
      <c r="G48" s="992"/>
      <c r="H48" s="416"/>
      <c r="I48" s="992"/>
      <c r="J48" s="416"/>
      <c r="K48" s="992"/>
      <c r="L48" s="416"/>
      <c r="M48" s="992"/>
      <c r="N48" s="416"/>
      <c r="O48" s="992"/>
      <c r="P48" s="416"/>
      <c r="Q48" s="992"/>
      <c r="R48" s="416"/>
      <c r="S48" s="992"/>
      <c r="T48" s="416"/>
      <c r="U48" s="992"/>
      <c r="V48" s="416"/>
      <c r="W48" s="992"/>
      <c r="X48" s="416"/>
      <c r="Y48" s="992"/>
      <c r="Z48" s="416"/>
      <c r="AA48" s="1627"/>
      <c r="AB48" s="416"/>
      <c r="AC48" s="416"/>
      <c r="AD48" s="880"/>
      <c r="AE48" s="878"/>
      <c r="AF48" s="416"/>
      <c r="AG48" s="416"/>
      <c r="AH48" s="264"/>
      <c r="AI48" s="264"/>
      <c r="AJ48" s="1767"/>
    </row>
    <row r="49" spans="1:36" ht="16.5" customHeight="1">
      <c r="A49" s="1132" t="s">
        <v>1226</v>
      </c>
      <c r="B49" s="1132"/>
      <c r="C49" s="2228">
        <f>+'Exhibit F'!D46</f>
        <v>0</v>
      </c>
      <c r="D49" s="1010"/>
      <c r="E49" s="2513"/>
      <c r="F49" s="1010"/>
      <c r="G49" s="2513"/>
      <c r="H49" s="881"/>
      <c r="I49" s="2513"/>
      <c r="J49" s="881"/>
      <c r="K49" s="2513"/>
      <c r="L49" s="416"/>
      <c r="M49" s="2513"/>
      <c r="N49" s="416"/>
      <c r="O49" s="2513"/>
      <c r="P49" s="416"/>
      <c r="Q49" s="2513"/>
      <c r="R49" s="416"/>
      <c r="S49" s="2513"/>
      <c r="T49" s="416"/>
      <c r="U49" s="2513"/>
      <c r="V49" s="416"/>
      <c r="W49" s="2513"/>
      <c r="X49" s="416"/>
      <c r="Y49" s="2513"/>
      <c r="Z49" s="416"/>
      <c r="AA49" s="1627"/>
      <c r="AB49" s="881">
        <f t="shared" ref="AB49:AB54" si="6">ROUND(SUM(C49:Y49),1)</f>
        <v>0</v>
      </c>
      <c r="AC49" s="416"/>
      <c r="AD49" s="880"/>
      <c r="AE49" s="2228">
        <f>+'Exhibit F'!AF46</f>
        <v>0</v>
      </c>
      <c r="AF49" s="2326"/>
      <c r="AG49" s="2326"/>
      <c r="AH49" s="2329">
        <f t="shared" ref="AH49:AH54" si="7">ROUND(SUM(+AB49-AE49),1)</f>
        <v>0</v>
      </c>
      <c r="AI49" s="2330"/>
      <c r="AJ49" s="2324">
        <f>-ROUND(IF(AE49=0,0,AH49/ABS(AE49)),3)</f>
        <v>0</v>
      </c>
    </row>
    <row r="50" spans="1:36" ht="16.5" customHeight="1">
      <c r="A50" s="1132" t="s">
        <v>1227</v>
      </c>
      <c r="B50" s="1132"/>
      <c r="C50" s="652">
        <f>+'Exhibit F'!D47</f>
        <v>50.2</v>
      </c>
      <c r="D50" s="1010"/>
      <c r="E50" s="652"/>
      <c r="F50" s="1010"/>
      <c r="G50" s="652"/>
      <c r="H50" s="881"/>
      <c r="I50" s="652"/>
      <c r="J50" s="881"/>
      <c r="K50" s="652"/>
      <c r="L50" s="881"/>
      <c r="M50" s="652"/>
      <c r="N50" s="416"/>
      <c r="O50" s="652"/>
      <c r="P50" s="416"/>
      <c r="Q50" s="652"/>
      <c r="R50" s="416"/>
      <c r="S50" s="652"/>
      <c r="T50" s="416"/>
      <c r="U50" s="652"/>
      <c r="V50" s="416"/>
      <c r="W50" s="652"/>
      <c r="X50" s="416"/>
      <c r="Y50" s="652"/>
      <c r="Z50" s="416"/>
      <c r="AA50" s="1627"/>
      <c r="AB50" s="881">
        <f t="shared" si="6"/>
        <v>50.2</v>
      </c>
      <c r="AC50" s="416"/>
      <c r="AD50" s="880"/>
      <c r="AE50" s="652">
        <f>+'Exhibit F'!AF47</f>
        <v>89.7</v>
      </c>
      <c r="AF50" s="416"/>
      <c r="AG50" s="416"/>
      <c r="AH50" s="1042">
        <f t="shared" si="7"/>
        <v>-39.5</v>
      </c>
      <c r="AI50" s="264"/>
      <c r="AJ50" s="1565">
        <f t="shared" ref="AJ50:AJ55" si="8">ROUND(IF(AE50=0,0,AH50/ABS(AE50)),3)</f>
        <v>-0.44</v>
      </c>
    </row>
    <row r="51" spans="1:36" ht="16.5" customHeight="1">
      <c r="A51" s="1132" t="s">
        <v>1228</v>
      </c>
      <c r="B51" s="1132"/>
      <c r="C51" s="652">
        <f>+'Exhibit F'!D48</f>
        <v>0.9</v>
      </c>
      <c r="D51" s="1010"/>
      <c r="E51" s="652"/>
      <c r="F51" s="1010"/>
      <c r="G51" s="652"/>
      <c r="H51" s="881"/>
      <c r="I51" s="652"/>
      <c r="J51" s="881"/>
      <c r="K51" s="652"/>
      <c r="L51" s="881"/>
      <c r="M51" s="652"/>
      <c r="N51" s="416"/>
      <c r="O51" s="652"/>
      <c r="P51" s="416"/>
      <c r="Q51" s="652"/>
      <c r="R51" s="416"/>
      <c r="S51" s="652"/>
      <c r="T51" s="416"/>
      <c r="U51" s="652"/>
      <c r="V51" s="416"/>
      <c r="W51" s="652"/>
      <c r="X51" s="416"/>
      <c r="Y51" s="652"/>
      <c r="Z51" s="416"/>
      <c r="AA51" s="1627"/>
      <c r="AB51" s="881">
        <f t="shared" si="6"/>
        <v>0.9</v>
      </c>
      <c r="AC51" s="416"/>
      <c r="AD51" s="880"/>
      <c r="AE51" s="652">
        <f>+'Exhibit F'!AF48</f>
        <v>0.8</v>
      </c>
      <c r="AF51" s="416"/>
      <c r="AG51" s="416"/>
      <c r="AH51" s="1042">
        <f t="shared" si="7"/>
        <v>0.1</v>
      </c>
      <c r="AI51" s="264"/>
      <c r="AJ51" s="1565">
        <f t="shared" si="8"/>
        <v>0.125</v>
      </c>
    </row>
    <row r="52" spans="1:36" ht="16.5" customHeight="1">
      <c r="A52" s="1132" t="s">
        <v>1229</v>
      </c>
      <c r="B52" s="1132"/>
      <c r="C52" s="652">
        <f>+'Exhibit F'!D49+'Exhibit H'!B22+'Exhibit I'!E30</f>
        <v>87</v>
      </c>
      <c r="D52" s="1010"/>
      <c r="E52" s="652"/>
      <c r="F52" s="1010"/>
      <c r="G52" s="652"/>
      <c r="H52" s="881"/>
      <c r="I52" s="652"/>
      <c r="J52" s="881"/>
      <c r="K52" s="652"/>
      <c r="L52" s="881"/>
      <c r="M52" s="652"/>
      <c r="N52" s="416"/>
      <c r="O52" s="652"/>
      <c r="P52" s="416"/>
      <c r="Q52" s="652"/>
      <c r="R52" s="416"/>
      <c r="S52" s="652"/>
      <c r="T52" s="416"/>
      <c r="U52" s="652"/>
      <c r="V52" s="416"/>
      <c r="W52" s="652"/>
      <c r="X52" s="416"/>
      <c r="Y52" s="652"/>
      <c r="Z52" s="416"/>
      <c r="AA52" s="1627"/>
      <c r="AB52" s="881">
        <f t="shared" si="6"/>
        <v>87</v>
      </c>
      <c r="AC52" s="416"/>
      <c r="AD52" s="880"/>
      <c r="AE52" s="652">
        <f>+'Exhibit F'!AF49+'Exhibit H'!AD22+'Exhibit I'!AI30</f>
        <v>94.8</v>
      </c>
      <c r="AF52" s="416"/>
      <c r="AG52" s="416"/>
      <c r="AH52" s="1042">
        <f t="shared" si="7"/>
        <v>-7.8</v>
      </c>
      <c r="AI52" s="264"/>
      <c r="AJ52" s="1565">
        <f t="shared" si="8"/>
        <v>-8.2000000000000003E-2</v>
      </c>
    </row>
    <row r="53" spans="1:36" ht="16.5" customHeight="1">
      <c r="A53" s="1132" t="s">
        <v>1230</v>
      </c>
      <c r="B53" s="1132"/>
      <c r="C53" s="652">
        <f>+'Exhibit F'!D50</f>
        <v>0.5</v>
      </c>
      <c r="D53" s="1010"/>
      <c r="E53" s="652"/>
      <c r="F53" s="1010"/>
      <c r="G53" s="652"/>
      <c r="H53" s="881"/>
      <c r="I53" s="652"/>
      <c r="J53" s="881"/>
      <c r="K53" s="652"/>
      <c r="L53" s="881"/>
      <c r="M53" s="652"/>
      <c r="N53" s="416"/>
      <c r="O53" s="652"/>
      <c r="P53" s="416"/>
      <c r="Q53" s="652"/>
      <c r="R53" s="416"/>
      <c r="S53" s="652"/>
      <c r="T53" s="416"/>
      <c r="U53" s="652"/>
      <c r="V53" s="416"/>
      <c r="W53" s="652"/>
      <c r="X53" s="416"/>
      <c r="Y53" s="652"/>
      <c r="Z53" s="416"/>
      <c r="AA53" s="1627"/>
      <c r="AB53" s="881">
        <f t="shared" si="6"/>
        <v>0.5</v>
      </c>
      <c r="AC53" s="416"/>
      <c r="AD53" s="880"/>
      <c r="AE53" s="652">
        <f>+'Exhibit F'!AF50</f>
        <v>0.4</v>
      </c>
      <c r="AF53" s="416"/>
      <c r="AG53" s="416"/>
      <c r="AH53" s="1042">
        <f t="shared" si="7"/>
        <v>0.1</v>
      </c>
      <c r="AI53" s="264"/>
      <c r="AJ53" s="1565">
        <f>ROUND(IF(AE53=0,0,AH53/ABS(AE53)),3)</f>
        <v>0.25</v>
      </c>
    </row>
    <row r="54" spans="1:36" ht="16.5" customHeight="1">
      <c r="A54" s="1803" t="s">
        <v>1231</v>
      </c>
      <c r="B54" s="1132"/>
      <c r="C54" s="652">
        <f>+'Exhibit F'!D51+'Exhibit G'!D38</f>
        <v>0</v>
      </c>
      <c r="D54" s="1010"/>
      <c r="E54" s="652"/>
      <c r="F54" s="1010"/>
      <c r="G54" s="652"/>
      <c r="H54" s="881"/>
      <c r="I54" s="652"/>
      <c r="J54" s="881"/>
      <c r="K54" s="652"/>
      <c r="L54" s="416"/>
      <c r="M54" s="652"/>
      <c r="N54" s="416"/>
      <c r="O54" s="652"/>
      <c r="P54" s="416"/>
      <c r="Q54" s="652"/>
      <c r="R54" s="416"/>
      <c r="S54" s="652"/>
      <c r="T54" s="416"/>
      <c r="U54" s="652"/>
      <c r="V54" s="416"/>
      <c r="W54" s="652"/>
      <c r="X54" s="416"/>
      <c r="Y54" s="652"/>
      <c r="Z54" s="416"/>
      <c r="AA54" s="1627"/>
      <c r="AB54" s="881">
        <f t="shared" si="6"/>
        <v>0</v>
      </c>
      <c r="AC54" s="416"/>
      <c r="AD54" s="880"/>
      <c r="AE54" s="652">
        <f>+'Exhibit F'!AF51+'Exhibit G'!AG38</f>
        <v>120.2</v>
      </c>
      <c r="AF54" s="416"/>
      <c r="AG54" s="416"/>
      <c r="AH54" s="1042">
        <f t="shared" si="7"/>
        <v>-120.2</v>
      </c>
      <c r="AI54" s="264"/>
      <c r="AJ54" s="1565">
        <f t="shared" si="8"/>
        <v>-1</v>
      </c>
    </row>
    <row r="55" spans="1:36" ht="16.5" customHeight="1">
      <c r="A55" s="555" t="s">
        <v>1224</v>
      </c>
      <c r="B55" s="1132"/>
      <c r="C55" s="1535">
        <f>ROUND(SUM(C49:C54),1)</f>
        <v>138.6</v>
      </c>
      <c r="D55" s="179"/>
      <c r="E55" s="1535">
        <f>ROUND(SUM(E49:E54),1)</f>
        <v>0</v>
      </c>
      <c r="F55" s="179"/>
      <c r="G55" s="1535">
        <f>ROUND(SUM(G49:G54),1)</f>
        <v>0</v>
      </c>
      <c r="H55" s="416"/>
      <c r="I55" s="1535">
        <f>ROUND(SUM(I49:I54),1)</f>
        <v>0</v>
      </c>
      <c r="J55" s="416"/>
      <c r="K55" s="1535">
        <f>ROUND(SUM(K49:K54),1)</f>
        <v>0</v>
      </c>
      <c r="L55" s="416"/>
      <c r="M55" s="1535">
        <f>ROUND(SUM(M49:M54),1)</f>
        <v>0</v>
      </c>
      <c r="N55" s="416"/>
      <c r="O55" s="1535">
        <f>ROUND(SUM(O49:O54),1)</f>
        <v>0</v>
      </c>
      <c r="P55" s="416"/>
      <c r="Q55" s="1535">
        <f>ROUND(SUM(Q49:Q54),1)</f>
        <v>0</v>
      </c>
      <c r="R55" s="416"/>
      <c r="S55" s="1535">
        <f>ROUND(SUM(S49:S54),1)</f>
        <v>0</v>
      </c>
      <c r="T55" s="416"/>
      <c r="U55" s="1535">
        <f>ROUND(SUM(U49:U54),1)</f>
        <v>0</v>
      </c>
      <c r="V55" s="416"/>
      <c r="W55" s="1535">
        <f>ROUND(SUM(W49:W54),1)</f>
        <v>0</v>
      </c>
      <c r="X55" s="416"/>
      <c r="Y55" s="1535">
        <f>ROUND(SUM(Y49:Y54),1)</f>
        <v>0</v>
      </c>
      <c r="Z55" s="416"/>
      <c r="AA55" s="1627"/>
      <c r="AB55" s="1535">
        <f>ROUND(SUM(AB49:AB54),1)</f>
        <v>138.6</v>
      </c>
      <c r="AC55" s="416"/>
      <c r="AD55" s="880"/>
      <c r="AE55" s="1535">
        <f>ROUND(SUM(AE49:AE54),1)</f>
        <v>305.89999999999998</v>
      </c>
      <c r="AF55" s="416"/>
      <c r="AG55" s="416"/>
      <c r="AH55" s="1535">
        <f>ROUND(SUM(AH49:AH54),1)</f>
        <v>-167.3</v>
      </c>
      <c r="AI55" s="264"/>
      <c r="AJ55" s="70">
        <f t="shared" si="8"/>
        <v>-0.54700000000000004</v>
      </c>
    </row>
    <row r="56" spans="1:36" ht="16.5" customHeight="1">
      <c r="A56" s="555"/>
      <c r="B56" s="1132"/>
      <c r="C56" s="181"/>
      <c r="D56" s="181"/>
      <c r="E56" s="181"/>
      <c r="F56" s="181"/>
      <c r="G56" s="181"/>
      <c r="H56" s="1799"/>
      <c r="I56" s="181"/>
      <c r="J56" s="1799"/>
      <c r="K56" s="181"/>
      <c r="L56" s="1799"/>
      <c r="M56" s="181"/>
      <c r="N56" s="1799"/>
      <c r="O56" s="181"/>
      <c r="P56" s="1799"/>
      <c r="Q56" s="181"/>
      <c r="R56" s="1799"/>
      <c r="S56" s="181"/>
      <c r="T56" s="1799"/>
      <c r="U56" s="181"/>
      <c r="V56" s="1799"/>
      <c r="W56" s="181"/>
      <c r="X56" s="1799"/>
      <c r="Y56" s="181"/>
      <c r="Z56" s="416"/>
      <c r="AA56" s="879"/>
      <c r="AB56" s="1799"/>
      <c r="AC56" s="416"/>
      <c r="AD56" s="880"/>
      <c r="AE56" s="1799"/>
      <c r="AF56" s="416"/>
      <c r="AG56" s="416"/>
      <c r="AH56" s="1129"/>
      <c r="AI56" s="416"/>
      <c r="AJ56" s="1129"/>
    </row>
    <row r="57" spans="1:36" ht="16.5" customHeight="1">
      <c r="A57" s="555" t="s">
        <v>1225</v>
      </c>
      <c r="B57" s="217"/>
      <c r="C57" s="190">
        <f>ROUND(SUM(C55+C47+C40+C30),1)</f>
        <v>7857.3</v>
      </c>
      <c r="D57" s="254"/>
      <c r="E57" s="190">
        <f>ROUND(SUM(E55+E47+E40+E30),1)</f>
        <v>0</v>
      </c>
      <c r="F57" s="254"/>
      <c r="G57" s="190">
        <f>ROUND(SUM(G55+G47+G40+G30),1)</f>
        <v>0</v>
      </c>
      <c r="H57" s="254"/>
      <c r="I57" s="190">
        <f>ROUND(SUM(I55+I47+I40+I30),1)</f>
        <v>0</v>
      </c>
      <c r="J57" s="254"/>
      <c r="K57" s="190">
        <f>ROUND(SUM(K55+K47+K40+K30),1)</f>
        <v>0</v>
      </c>
      <c r="L57" s="254"/>
      <c r="M57" s="190">
        <f>ROUND(SUM(M55+M47+M40+M30),1)</f>
        <v>0</v>
      </c>
      <c r="N57" s="254"/>
      <c r="O57" s="190">
        <f>ROUND(SUM(O55+O47+O40+O30),1)</f>
        <v>0</v>
      </c>
      <c r="P57" s="254"/>
      <c r="Q57" s="190">
        <f>ROUND(SUM(Q55+Q47+Q40+Q30),1)</f>
        <v>0</v>
      </c>
      <c r="R57" s="254"/>
      <c r="S57" s="190">
        <f>ROUND(SUM(S55+S47+S40+S30),1)</f>
        <v>0</v>
      </c>
      <c r="T57" s="254"/>
      <c r="U57" s="190">
        <f>ROUND(SUM(U55+U47+U40+U30),1)</f>
        <v>0</v>
      </c>
      <c r="V57" s="254"/>
      <c r="W57" s="190">
        <f>ROUND(SUM(W55+W47+W40+W30),1)</f>
        <v>0</v>
      </c>
      <c r="X57" s="355"/>
      <c r="Y57" s="190">
        <f>ROUND(SUM(Y55+Y47+Y40+Y30),1)</f>
        <v>0</v>
      </c>
      <c r="Z57" s="355"/>
      <c r="AA57" s="232"/>
      <c r="AB57" s="577">
        <f>ROUND(+AB55+AB47+AB40+AB30,1)</f>
        <v>7857.3</v>
      </c>
      <c r="AC57" s="254"/>
      <c r="AD57" s="244"/>
      <c r="AE57" s="577">
        <f>ROUND(+AE55+AE47+AE40+AE30,1)</f>
        <v>7140.7</v>
      </c>
      <c r="AF57" s="243"/>
      <c r="AG57" s="1147"/>
      <c r="AH57" s="577">
        <f>ROUND(+AH55+AH47+AH40+AH30,1)</f>
        <v>716.6</v>
      </c>
      <c r="AI57" s="1608"/>
      <c r="AJ57" s="1658">
        <f>ROUND(IF(AE57=0,0,AH57/ABS(AE57)),3)</f>
        <v>0.1</v>
      </c>
    </row>
    <row r="58" spans="1:36" ht="16.5" customHeight="1">
      <c r="A58" s="416"/>
      <c r="B58" s="416"/>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2"/>
      <c r="AB58" s="881"/>
      <c r="AC58" s="881"/>
      <c r="AD58" s="883"/>
      <c r="AE58" s="881"/>
      <c r="AF58" s="881"/>
      <c r="AG58" s="881"/>
      <c r="AH58" s="881"/>
      <c r="AI58" s="416"/>
      <c r="AJ58" s="1629"/>
    </row>
    <row r="59" spans="1:36" ht="16.5" customHeight="1">
      <c r="A59" s="467" t="s">
        <v>1128</v>
      </c>
      <c r="B59" s="1539"/>
      <c r="C59" s="881"/>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2"/>
      <c r="AB59" s="881"/>
      <c r="AC59" s="881"/>
      <c r="AD59" s="883"/>
      <c r="AE59" s="881"/>
      <c r="AF59" s="881"/>
      <c r="AG59" s="881"/>
      <c r="AH59" s="881"/>
      <c r="AI59" s="416"/>
      <c r="AJ59" s="1629"/>
    </row>
    <row r="60" spans="1:36" ht="16.5" customHeight="1">
      <c r="A60" s="1541" t="s">
        <v>1253</v>
      </c>
      <c r="B60" s="1539"/>
      <c r="C60" s="881"/>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2"/>
      <c r="AB60" s="881"/>
      <c r="AC60" s="881"/>
      <c r="AD60" s="883"/>
      <c r="AE60" s="881"/>
      <c r="AF60" s="881"/>
      <c r="AG60" s="881"/>
      <c r="AH60" s="881"/>
      <c r="AI60" s="416"/>
      <c r="AJ60" s="1629"/>
    </row>
    <row r="61" spans="1:36" ht="16.5" customHeight="1">
      <c r="A61" s="1541" t="s">
        <v>1126</v>
      </c>
      <c r="B61" s="1541"/>
      <c r="C61" s="881">
        <f>+'Exhibit F'!D58+'Exhibit G'!D45</f>
        <v>1.2</v>
      </c>
      <c r="D61" s="881"/>
      <c r="E61" s="881"/>
      <c r="F61" s="881"/>
      <c r="G61" s="881"/>
      <c r="H61" s="881"/>
      <c r="I61" s="881"/>
      <c r="J61" s="881"/>
      <c r="K61" s="881"/>
      <c r="L61" s="881"/>
      <c r="M61" s="881"/>
      <c r="N61" s="881"/>
      <c r="O61" s="881"/>
      <c r="P61" s="881"/>
      <c r="Q61" s="881"/>
      <c r="R61" s="881"/>
      <c r="S61" s="881"/>
      <c r="T61" s="881"/>
      <c r="U61" s="881"/>
      <c r="V61" s="881"/>
      <c r="W61" s="881"/>
      <c r="X61" s="881"/>
      <c r="Y61" s="881"/>
      <c r="Z61" s="881"/>
      <c r="AA61" s="882"/>
      <c r="AB61" s="881">
        <f t="shared" ref="AB61:AB100" si="9">ROUND(SUM(C61:Y61),1)</f>
        <v>1.2</v>
      </c>
      <c r="AC61" s="881"/>
      <c r="AD61" s="883"/>
      <c r="AE61" s="881">
        <f>+'Exhibit F'!AF58+'Exhibit G'!AG45</f>
        <v>0.7</v>
      </c>
      <c r="AF61" s="881"/>
      <c r="AG61" s="881"/>
      <c r="AH61" s="881">
        <f t="shared" ref="AH61:AH100" si="10">ROUND(SUM(AB61-AE61),1)</f>
        <v>0.5</v>
      </c>
      <c r="AI61" s="416"/>
      <c r="AJ61" s="1565">
        <f>ROUND(IF(AE61=0,0,AH61/ABS(AE61)),3)</f>
        <v>0.71399999999999997</v>
      </c>
    </row>
    <row r="62" spans="1:36" ht="16.5" customHeight="1">
      <c r="A62" s="1541" t="s">
        <v>1127</v>
      </c>
      <c r="B62" s="1541"/>
      <c r="C62" s="881">
        <f>+'Exhibit F'!D59+'Exhibit I'!E37</f>
        <v>0.9</v>
      </c>
      <c r="D62" s="881"/>
      <c r="E62" s="881"/>
      <c r="F62" s="881"/>
      <c r="G62" s="881"/>
      <c r="H62" s="881"/>
      <c r="I62" s="881"/>
      <c r="J62" s="881"/>
      <c r="K62" s="881"/>
      <c r="L62" s="881"/>
      <c r="M62" s="881"/>
      <c r="N62" s="881"/>
      <c r="O62" s="881"/>
      <c r="P62" s="881"/>
      <c r="Q62" s="881"/>
      <c r="R62" s="881"/>
      <c r="S62" s="881"/>
      <c r="T62" s="881"/>
      <c r="U62" s="881"/>
      <c r="V62" s="881"/>
      <c r="W62" s="881"/>
      <c r="X62" s="881"/>
      <c r="Y62" s="881"/>
      <c r="Z62" s="881"/>
      <c r="AA62" s="882"/>
      <c r="AB62" s="881">
        <f t="shared" si="9"/>
        <v>0.9</v>
      </c>
      <c r="AC62" s="881"/>
      <c r="AD62" s="883"/>
      <c r="AE62" s="881">
        <f>+'Exhibit F'!AF59+'Exhibit I'!AI37</f>
        <v>0.3</v>
      </c>
      <c r="AF62" s="881"/>
      <c r="AG62" s="881"/>
      <c r="AH62" s="881">
        <f t="shared" si="10"/>
        <v>0.6</v>
      </c>
      <c r="AI62" s="416"/>
      <c r="AJ62" s="1565">
        <f>ROUND(IF(AE62=0,0,AH62/ABS(AE62)),3)</f>
        <v>2</v>
      </c>
    </row>
    <row r="63" spans="1:36" ht="16.5" customHeight="1">
      <c r="A63" s="1541" t="s">
        <v>1254</v>
      </c>
      <c r="B63" s="1541"/>
      <c r="C63" s="881"/>
      <c r="D63" s="881"/>
      <c r="E63" s="881"/>
      <c r="F63" s="881"/>
      <c r="G63" s="881"/>
      <c r="H63" s="881"/>
      <c r="I63" s="881"/>
      <c r="J63" s="881"/>
      <c r="K63" s="881"/>
      <c r="L63" s="881"/>
      <c r="M63" s="881"/>
      <c r="N63" s="881"/>
      <c r="O63" s="881"/>
      <c r="P63" s="881"/>
      <c r="Q63" s="881"/>
      <c r="R63" s="881"/>
      <c r="S63" s="881"/>
      <c r="T63" s="881"/>
      <c r="U63" s="881"/>
      <c r="V63" s="881"/>
      <c r="W63" s="881"/>
      <c r="X63" s="881"/>
      <c r="Y63" s="881"/>
      <c r="Z63" s="881"/>
      <c r="AA63" s="882"/>
      <c r="AB63" s="881"/>
      <c r="AC63" s="881"/>
      <c r="AD63" s="883"/>
      <c r="AE63" s="881"/>
      <c r="AF63" s="881"/>
      <c r="AG63" s="881"/>
      <c r="AH63" s="881"/>
      <c r="AI63" s="416"/>
      <c r="AJ63" s="1565"/>
    </row>
    <row r="64" spans="1:36" ht="16.5" customHeight="1">
      <c r="A64" s="1541" t="s">
        <v>1131</v>
      </c>
      <c r="B64" s="1541"/>
      <c r="C64" s="881">
        <f>+'Exhibit F'!D61+'Exhibit G'!D47+'Exhibit I'!E39</f>
        <v>103.30000000000001</v>
      </c>
      <c r="D64" s="881"/>
      <c r="E64" s="881"/>
      <c r="F64" s="881"/>
      <c r="G64" s="881"/>
      <c r="H64" s="881"/>
      <c r="I64" s="881"/>
      <c r="J64" s="881"/>
      <c r="K64" s="881"/>
      <c r="L64" s="881"/>
      <c r="M64" s="881"/>
      <c r="N64" s="881"/>
      <c r="O64" s="881"/>
      <c r="P64" s="881"/>
      <c r="Q64" s="881"/>
      <c r="R64" s="881"/>
      <c r="S64" s="881"/>
      <c r="T64" s="881"/>
      <c r="U64" s="881"/>
      <c r="V64" s="881"/>
      <c r="W64" s="881"/>
      <c r="X64" s="881"/>
      <c r="Y64" s="881"/>
      <c r="Z64" s="881"/>
      <c r="AA64" s="882"/>
      <c r="AB64" s="881">
        <f>ROUND(SUM(C64:Y64),1)</f>
        <v>103.3</v>
      </c>
      <c r="AC64" s="881"/>
      <c r="AD64" s="883"/>
      <c r="AE64" s="881">
        <f>+'Exhibit F'!AF61+'Exhibit G'!AG47+'Exhibit I'!AI39</f>
        <v>33.6</v>
      </c>
      <c r="AF64" s="881"/>
      <c r="AG64" s="881"/>
      <c r="AH64" s="881">
        <f t="shared" si="10"/>
        <v>69.7</v>
      </c>
      <c r="AI64" s="416"/>
      <c r="AJ64" s="1565">
        <f>ROUND(IF(AE64=0,0,AH64/ABS(AE64)),3)</f>
        <v>2.0739999999999998</v>
      </c>
    </row>
    <row r="65" spans="1:36" ht="16.5" customHeight="1">
      <c r="A65" s="1541" t="s">
        <v>1132</v>
      </c>
      <c r="B65" s="1541"/>
      <c r="C65" s="881">
        <f>+'Exhibit F'!D62+'Exhibit G'!D48</f>
        <v>525.79999999999995</v>
      </c>
      <c r="D65" s="881"/>
      <c r="E65" s="881"/>
      <c r="F65" s="881"/>
      <c r="G65" s="881"/>
      <c r="H65" s="881"/>
      <c r="I65" s="881"/>
      <c r="J65" s="881"/>
      <c r="K65" s="881"/>
      <c r="L65" s="881"/>
      <c r="M65" s="881"/>
      <c r="N65" s="881"/>
      <c r="O65" s="881"/>
      <c r="P65" s="881"/>
      <c r="Q65" s="881"/>
      <c r="R65" s="881"/>
      <c r="S65" s="881"/>
      <c r="T65" s="881"/>
      <c r="U65" s="881"/>
      <c r="V65" s="881"/>
      <c r="W65" s="881"/>
      <c r="X65" s="881"/>
      <c r="Y65" s="881"/>
      <c r="Z65" s="881"/>
      <c r="AA65" s="882"/>
      <c r="AB65" s="881">
        <f t="shared" si="9"/>
        <v>525.79999999999995</v>
      </c>
      <c r="AC65" s="881"/>
      <c r="AD65" s="883"/>
      <c r="AE65" s="881">
        <f>+'Exhibit F'!AF62+'Exhibit G'!AG48+'Exhibit H'!AD29</f>
        <v>462.2</v>
      </c>
      <c r="AF65" s="881"/>
      <c r="AG65" s="881"/>
      <c r="AH65" s="881">
        <f t="shared" si="10"/>
        <v>63.6</v>
      </c>
      <c r="AI65" s="416"/>
      <c r="AJ65" s="1565">
        <f>ROUND(IF(AE65=0,0,AH65/ABS(AE65)),3)</f>
        <v>0.13800000000000001</v>
      </c>
    </row>
    <row r="66" spans="1:36" ht="16.5" customHeight="1">
      <c r="A66" s="1541" t="s">
        <v>1133</v>
      </c>
      <c r="B66" s="1541"/>
      <c r="C66" s="881">
        <f>+'Exhibit F'!D63+'Exhibit G'!D49</f>
        <v>1.8</v>
      </c>
      <c r="D66" s="881"/>
      <c r="E66" s="881"/>
      <c r="F66" s="881"/>
      <c r="G66" s="881"/>
      <c r="H66" s="881"/>
      <c r="I66" s="881"/>
      <c r="J66" s="881"/>
      <c r="K66" s="881"/>
      <c r="L66" s="881"/>
      <c r="M66" s="881"/>
      <c r="N66" s="881"/>
      <c r="O66" s="881"/>
      <c r="P66" s="881"/>
      <c r="Q66" s="881"/>
      <c r="R66" s="881"/>
      <c r="S66" s="881"/>
      <c r="T66" s="881"/>
      <c r="U66" s="881"/>
      <c r="V66" s="881"/>
      <c r="W66" s="881"/>
      <c r="X66" s="881"/>
      <c r="Y66" s="881"/>
      <c r="Z66" s="881"/>
      <c r="AA66" s="882"/>
      <c r="AB66" s="881">
        <f t="shared" si="9"/>
        <v>1.8</v>
      </c>
      <c r="AC66" s="881"/>
      <c r="AD66" s="883"/>
      <c r="AE66" s="881">
        <f>+'Exhibit F'!AF63+'Exhibit G'!AG49</f>
        <v>1.4</v>
      </c>
      <c r="AF66" s="881"/>
      <c r="AG66" s="881"/>
      <c r="AH66" s="881">
        <f t="shared" si="10"/>
        <v>0.4</v>
      </c>
      <c r="AI66" s="416"/>
      <c r="AJ66" s="1565">
        <f>ROUND(IF(AE66=0,0,AH66/ABS(AE66)),3)</f>
        <v>0.28599999999999998</v>
      </c>
    </row>
    <row r="67" spans="1:36" ht="16.5" customHeight="1">
      <c r="A67" s="1541" t="s">
        <v>1134</v>
      </c>
      <c r="B67" s="1541"/>
      <c r="C67" s="881">
        <f>+'Exhibit F'!D64+'Exhibit G'!D50</f>
        <v>0</v>
      </c>
      <c r="D67" s="881"/>
      <c r="E67" s="881"/>
      <c r="F67" s="881"/>
      <c r="G67" s="881"/>
      <c r="H67" s="881"/>
      <c r="I67" s="881"/>
      <c r="J67" s="881"/>
      <c r="K67" s="881"/>
      <c r="L67" s="881"/>
      <c r="M67" s="881"/>
      <c r="N67" s="881"/>
      <c r="O67" s="881"/>
      <c r="P67" s="881"/>
      <c r="Q67" s="881"/>
      <c r="R67" s="881"/>
      <c r="S67" s="881"/>
      <c r="T67" s="881"/>
      <c r="U67" s="881"/>
      <c r="V67" s="881"/>
      <c r="W67" s="881"/>
      <c r="X67" s="881"/>
      <c r="Y67" s="881"/>
      <c r="Z67" s="881"/>
      <c r="AA67" s="882"/>
      <c r="AB67" s="881">
        <f t="shared" si="9"/>
        <v>0</v>
      </c>
      <c r="AC67" s="881"/>
      <c r="AD67" s="883"/>
      <c r="AE67" s="881">
        <f>+'Exhibit F'!AF64+'Exhibit G'!AG50</f>
        <v>0.9</v>
      </c>
      <c r="AF67" s="881"/>
      <c r="AG67" s="881"/>
      <c r="AH67" s="881">
        <f t="shared" si="10"/>
        <v>-0.9</v>
      </c>
      <c r="AI67" s="416"/>
      <c r="AJ67" s="1565">
        <f>ROUND(IF(AE67=0,0,AH67/ABS(AE67)),3)</f>
        <v>-1</v>
      </c>
    </row>
    <row r="68" spans="1:36" ht="16.5" customHeight="1">
      <c r="A68" s="1541" t="s">
        <v>1259</v>
      </c>
      <c r="B68" s="1541"/>
      <c r="C68" s="881"/>
      <c r="D68" s="881"/>
      <c r="E68" s="881"/>
      <c r="F68" s="881"/>
      <c r="G68" s="881"/>
      <c r="H68" s="881"/>
      <c r="I68" s="881"/>
      <c r="J68" s="881"/>
      <c r="K68" s="881"/>
      <c r="L68" s="881"/>
      <c r="M68" s="881"/>
      <c r="N68" s="881"/>
      <c r="O68" s="881"/>
      <c r="P68" s="881"/>
      <c r="Q68" s="881"/>
      <c r="R68" s="881"/>
      <c r="S68" s="881"/>
      <c r="T68" s="881"/>
      <c r="U68" s="881"/>
      <c r="V68" s="881"/>
      <c r="W68" s="881"/>
      <c r="X68" s="881"/>
      <c r="Y68" s="881"/>
      <c r="Z68" s="881"/>
      <c r="AA68" s="882"/>
      <c r="AB68" s="881"/>
      <c r="AC68" s="881"/>
      <c r="AD68" s="883"/>
      <c r="AE68" s="881"/>
      <c r="AF68" s="881"/>
      <c r="AG68" s="881"/>
      <c r="AH68" s="881"/>
      <c r="AI68" s="416"/>
      <c r="AJ68" s="1565"/>
    </row>
    <row r="69" spans="1:36" ht="16.5" customHeight="1">
      <c r="A69" s="1541" t="s">
        <v>1135</v>
      </c>
      <c r="B69" s="1541"/>
      <c r="C69" s="881">
        <f>+'Exhibit F'!D66+'Exhibit H'!B31</f>
        <v>5.7</v>
      </c>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2"/>
      <c r="AB69" s="881">
        <f t="shared" si="9"/>
        <v>5.7</v>
      </c>
      <c r="AC69" s="881"/>
      <c r="AD69" s="883"/>
      <c r="AE69" s="881">
        <f>+'Exhibit F'!AF66+'Exhibit H'!AD31</f>
        <v>6.1</v>
      </c>
      <c r="AF69" s="881"/>
      <c r="AG69" s="881"/>
      <c r="AH69" s="881">
        <f t="shared" si="10"/>
        <v>-0.4</v>
      </c>
      <c r="AI69" s="416"/>
      <c r="AJ69" s="1565">
        <f t="shared" ref="AJ69:AJ76" si="11">ROUND(IF(AE69=0,0,AH69/ABS(AE69)),3)</f>
        <v>-6.6000000000000003E-2</v>
      </c>
    </row>
    <row r="70" spans="1:36" ht="16.5" customHeight="1">
      <c r="A70" s="1541" t="s">
        <v>1368</v>
      </c>
      <c r="B70" s="1541"/>
      <c r="C70" s="881">
        <f>'Exhibit G'!D52</f>
        <v>0</v>
      </c>
      <c r="D70" s="881"/>
      <c r="E70" s="881"/>
      <c r="F70" s="881"/>
      <c r="G70" s="881"/>
      <c r="H70" s="881"/>
      <c r="I70" s="881"/>
      <c r="J70" s="881"/>
      <c r="K70" s="881"/>
      <c r="L70" s="881"/>
      <c r="M70" s="881"/>
      <c r="N70" s="881"/>
      <c r="O70" s="881"/>
      <c r="P70" s="881"/>
      <c r="Q70" s="881"/>
      <c r="R70" s="881"/>
      <c r="S70" s="881"/>
      <c r="T70" s="881"/>
      <c r="U70" s="881"/>
      <c r="V70" s="881"/>
      <c r="W70" s="881"/>
      <c r="X70" s="881"/>
      <c r="Y70" s="881"/>
      <c r="Z70" s="881"/>
      <c r="AA70" s="1628"/>
      <c r="AB70" s="881">
        <f t="shared" si="9"/>
        <v>0</v>
      </c>
      <c r="AC70" s="881"/>
      <c r="AD70" s="883"/>
      <c r="AE70" s="881">
        <f>'Exhibit G'!AG52</f>
        <v>0</v>
      </c>
      <c r="AF70" s="881"/>
      <c r="AG70" s="881"/>
      <c r="AH70" s="881">
        <f>ROUND(SUM(AB70-AE70),1)</f>
        <v>0</v>
      </c>
      <c r="AI70" s="2504"/>
      <c r="AJ70" s="2324">
        <f>ROUND(IF(AE70=0,0,AH70/ABS(AE70)),3)</f>
        <v>0</v>
      </c>
    </row>
    <row r="71" spans="1:36" ht="16.5" customHeight="1">
      <c r="A71" s="1541" t="s">
        <v>1255</v>
      </c>
      <c r="B71" s="1541"/>
      <c r="C71" s="881">
        <f>+'Exhibit F'!D68+'Exhibit G'!D53+'Exhibit I'!E41+'Exhibit H'!B32</f>
        <v>53.8</v>
      </c>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2"/>
      <c r="AB71" s="881">
        <f t="shared" si="9"/>
        <v>53.8</v>
      </c>
      <c r="AC71" s="881"/>
      <c r="AD71" s="883"/>
      <c r="AE71" s="881">
        <f>+'Exhibit F'!AF68+'Exhibit G'!AG53+'Exhibit I'!AI41+'Exhibit H'!AD32</f>
        <v>49.4</v>
      </c>
      <c r="AF71" s="881"/>
      <c r="AG71" s="881"/>
      <c r="AH71" s="881">
        <f>ROUND(SUM(AB71-AE71),1)</f>
        <v>4.4000000000000004</v>
      </c>
      <c r="AI71" s="2504"/>
      <c r="AJ71" s="1565">
        <f>ROUND(IF(AE71=0,0,AH71/ABS(AE71)),3)</f>
        <v>8.8999999999999996E-2</v>
      </c>
    </row>
    <row r="72" spans="1:36" ht="16.5" customHeight="1">
      <c r="A72" s="1541" t="s">
        <v>1137</v>
      </c>
      <c r="B72" s="1541"/>
      <c r="C72" s="881">
        <f>+'Exhibit F'!D69+'Exhibit G'!D54+'Exhibit H'!B33</f>
        <v>28.4</v>
      </c>
      <c r="D72" s="881"/>
      <c r="E72" s="881"/>
      <c r="F72" s="881"/>
      <c r="G72" s="881"/>
      <c r="H72" s="881"/>
      <c r="I72" s="881"/>
      <c r="J72" s="881"/>
      <c r="K72" s="881"/>
      <c r="L72" s="881"/>
      <c r="M72" s="881"/>
      <c r="N72" s="881"/>
      <c r="O72" s="881"/>
      <c r="P72" s="881"/>
      <c r="Q72" s="881"/>
      <c r="R72" s="881"/>
      <c r="S72" s="881"/>
      <c r="T72" s="881"/>
      <c r="U72" s="881"/>
      <c r="V72" s="881"/>
      <c r="W72" s="881"/>
      <c r="X72" s="881"/>
      <c r="Y72" s="881"/>
      <c r="Z72" s="881"/>
      <c r="AA72" s="882"/>
      <c r="AB72" s="881">
        <f t="shared" si="9"/>
        <v>28.4</v>
      </c>
      <c r="AC72" s="881"/>
      <c r="AD72" s="883"/>
      <c r="AE72" s="881">
        <f>+'Exhibit F'!AF69+'Exhibit G'!AG54+'Exhibit H'!AD33+'Exhibit I'!AI42</f>
        <v>22.299999999999997</v>
      </c>
      <c r="AF72" s="881"/>
      <c r="AG72" s="881"/>
      <c r="AH72" s="881">
        <f t="shared" si="10"/>
        <v>6.1</v>
      </c>
      <c r="AI72" s="416"/>
      <c r="AJ72" s="1565">
        <f t="shared" si="11"/>
        <v>0.27400000000000002</v>
      </c>
    </row>
    <row r="73" spans="1:36" ht="16.5" customHeight="1">
      <c r="A73" s="1541" t="s">
        <v>1138</v>
      </c>
      <c r="B73" s="1541"/>
      <c r="C73" s="881">
        <f>+'Exhibit F'!D70+'Exhibit G'!D55+'Exhibit H'!B34</f>
        <v>0.4</v>
      </c>
      <c r="D73" s="881"/>
      <c r="E73" s="881"/>
      <c r="F73" s="881"/>
      <c r="G73" s="881"/>
      <c r="H73" s="881"/>
      <c r="I73" s="881"/>
      <c r="J73" s="881"/>
      <c r="K73" s="881"/>
      <c r="L73" s="881"/>
      <c r="M73" s="881"/>
      <c r="N73" s="881"/>
      <c r="O73" s="881"/>
      <c r="P73" s="881"/>
      <c r="Q73" s="881"/>
      <c r="R73" s="881"/>
      <c r="S73" s="881"/>
      <c r="T73" s="881"/>
      <c r="U73" s="881"/>
      <c r="V73" s="881"/>
      <c r="W73" s="881"/>
      <c r="X73" s="881"/>
      <c r="Y73" s="881"/>
      <c r="Z73" s="881"/>
      <c r="AA73" s="882"/>
      <c r="AB73" s="881">
        <f t="shared" si="9"/>
        <v>0.4</v>
      </c>
      <c r="AC73" s="881"/>
      <c r="AD73" s="883"/>
      <c r="AE73" s="881">
        <f>+'Exhibit F'!AF70+'Exhibit G'!AG55+'Exhibit H'!AD34</f>
        <v>0.2</v>
      </c>
      <c r="AF73" s="881"/>
      <c r="AG73" s="881"/>
      <c r="AH73" s="881">
        <f t="shared" si="10"/>
        <v>0.2</v>
      </c>
      <c r="AI73" s="416"/>
      <c r="AJ73" s="1565">
        <f t="shared" si="11"/>
        <v>1</v>
      </c>
    </row>
    <row r="74" spans="1:36" ht="16.5" customHeight="1">
      <c r="A74" s="1541" t="s">
        <v>1139</v>
      </c>
      <c r="B74" s="1541"/>
      <c r="C74" s="881">
        <f>+'Exhibit F'!D71+'Exhibit G'!D56+'Exhibit I'!E43+'Exhibit H'!B35</f>
        <v>140.9</v>
      </c>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882"/>
      <c r="AB74" s="881">
        <f t="shared" si="9"/>
        <v>140.9</v>
      </c>
      <c r="AC74" s="881"/>
      <c r="AD74" s="883"/>
      <c r="AE74" s="881">
        <f>+'Exhibit F'!AF71+'Exhibit G'!AG56+'Exhibit I'!AI43+'Exhibit H'!AD35</f>
        <v>147.89999999999998</v>
      </c>
      <c r="AF74" s="881"/>
      <c r="AG74" s="881"/>
      <c r="AH74" s="881">
        <f t="shared" si="10"/>
        <v>-7</v>
      </c>
      <c r="AI74" s="416"/>
      <c r="AJ74" s="1565">
        <f t="shared" si="11"/>
        <v>-4.7E-2</v>
      </c>
    </row>
    <row r="75" spans="1:36" ht="16.5" customHeight="1">
      <c r="A75" s="1541" t="s">
        <v>1140</v>
      </c>
      <c r="B75" s="1541"/>
      <c r="C75" s="881">
        <f>+'Exhibit F'!D72+'Exhibit G'!D57+'Exhibit I'!E44+'Exhibit H'!B36</f>
        <v>44.400000000000006</v>
      </c>
      <c r="D75" s="881"/>
      <c r="E75" s="881"/>
      <c r="F75" s="881"/>
      <c r="G75" s="881"/>
      <c r="H75" s="881"/>
      <c r="I75" s="881"/>
      <c r="J75" s="881"/>
      <c r="K75" s="881"/>
      <c r="L75" s="881"/>
      <c r="M75" s="881"/>
      <c r="N75" s="881"/>
      <c r="O75" s="881"/>
      <c r="P75" s="881"/>
      <c r="Q75" s="881"/>
      <c r="R75" s="881"/>
      <c r="S75" s="881"/>
      <c r="T75" s="881"/>
      <c r="U75" s="881"/>
      <c r="V75" s="881"/>
      <c r="W75" s="881"/>
      <c r="X75" s="881"/>
      <c r="Y75" s="881"/>
      <c r="Z75" s="881"/>
      <c r="AA75" s="882"/>
      <c r="AB75" s="881">
        <f t="shared" si="9"/>
        <v>44.4</v>
      </c>
      <c r="AC75" s="881"/>
      <c r="AD75" s="883"/>
      <c r="AE75" s="881">
        <f>+'Exhibit F'!AF72+'Exhibit G'!AG57+'Exhibit I'!AI44+'Exhibit H'!AD36</f>
        <v>43.7</v>
      </c>
      <c r="AF75" s="881"/>
      <c r="AG75" s="881"/>
      <c r="AH75" s="881">
        <f t="shared" si="10"/>
        <v>0.7</v>
      </c>
      <c r="AI75" s="416"/>
      <c r="AJ75" s="1565">
        <f t="shared" si="11"/>
        <v>1.6E-2</v>
      </c>
    </row>
    <row r="76" spans="1:36" ht="16.5" customHeight="1">
      <c r="A76" s="1541" t="s">
        <v>1129</v>
      </c>
      <c r="B76" s="1541"/>
      <c r="C76" s="881">
        <f>+'Exhibit F'!D73+'Exhibit G'!D58+'Exhibit I'!E45</f>
        <v>69.800000000000011</v>
      </c>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2"/>
      <c r="AB76" s="881">
        <f t="shared" si="9"/>
        <v>69.8</v>
      </c>
      <c r="AC76" s="881"/>
      <c r="AD76" s="883"/>
      <c r="AE76" s="881">
        <f>+'Exhibit F'!AF73+'Exhibit G'!AG58+'Exhibit I'!AI45</f>
        <v>15.799999999999999</v>
      </c>
      <c r="AF76" s="881"/>
      <c r="AG76" s="881"/>
      <c r="AH76" s="881">
        <f t="shared" si="10"/>
        <v>54</v>
      </c>
      <c r="AI76" s="416"/>
      <c r="AJ76" s="1565">
        <f t="shared" si="11"/>
        <v>3.4180000000000001</v>
      </c>
    </row>
    <row r="77" spans="1:36" ht="16.5" customHeight="1">
      <c r="A77" s="1541" t="s">
        <v>1256</v>
      </c>
      <c r="B77" s="1541"/>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2"/>
      <c r="AB77" s="881"/>
      <c r="AC77" s="881"/>
      <c r="AD77" s="883"/>
      <c r="AE77" s="881"/>
      <c r="AF77" s="881"/>
      <c r="AG77" s="881"/>
      <c r="AH77" s="881"/>
      <c r="AI77" s="416"/>
      <c r="AJ77" s="1565"/>
    </row>
    <row r="78" spans="1:36" ht="16.5" customHeight="1">
      <c r="A78" s="1541" t="s">
        <v>1141</v>
      </c>
      <c r="B78" s="1541"/>
      <c r="C78" s="881">
        <f>+'Exhibit G'!D60</f>
        <v>28.2</v>
      </c>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2"/>
      <c r="AB78" s="881">
        <f t="shared" si="9"/>
        <v>28.2</v>
      </c>
      <c r="AC78" s="881"/>
      <c r="AD78" s="883"/>
      <c r="AE78" s="881">
        <f>+'Exhibit G'!AG60</f>
        <v>22.7</v>
      </c>
      <c r="AF78" s="881"/>
      <c r="AG78" s="881"/>
      <c r="AH78" s="881">
        <f t="shared" si="10"/>
        <v>5.5</v>
      </c>
      <c r="AI78" s="416"/>
      <c r="AJ78" s="2299">
        <f>ROUND(IF(AE78=0,0,AH78/ABS(AE78)),3)</f>
        <v>0.24199999999999999</v>
      </c>
    </row>
    <row r="79" spans="1:36" ht="16.5" customHeight="1">
      <c r="A79" s="1541" t="s">
        <v>1142</v>
      </c>
      <c r="B79" s="1541"/>
      <c r="C79" s="881">
        <f>+'Exhibit G'!D61</f>
        <v>199</v>
      </c>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2"/>
      <c r="AB79" s="881">
        <f t="shared" si="9"/>
        <v>199</v>
      </c>
      <c r="AC79" s="881"/>
      <c r="AD79" s="883"/>
      <c r="AE79" s="881">
        <f>+'Exhibit G'!AG61</f>
        <v>190.4</v>
      </c>
      <c r="AF79" s="881"/>
      <c r="AG79" s="881"/>
      <c r="AH79" s="881">
        <f t="shared" si="10"/>
        <v>8.6</v>
      </c>
      <c r="AI79" s="416"/>
      <c r="AJ79" s="2299">
        <f>ROUND(IF(AE79=0,0,AH79/ABS(AE79)),3)</f>
        <v>4.4999999999999998E-2</v>
      </c>
    </row>
    <row r="80" spans="1:36" ht="16.5" customHeight="1">
      <c r="A80" s="1541" t="s">
        <v>1143</v>
      </c>
      <c r="B80" s="1541"/>
      <c r="C80" s="881">
        <f>+'Exhibit G'!D62</f>
        <v>75.099999999999994</v>
      </c>
      <c r="D80" s="881"/>
      <c r="E80" s="881"/>
      <c r="F80" s="881"/>
      <c r="G80" s="881"/>
      <c r="H80" s="881"/>
      <c r="I80" s="881"/>
      <c r="J80" s="881"/>
      <c r="K80" s="881"/>
      <c r="L80" s="881"/>
      <c r="M80" s="881"/>
      <c r="N80" s="881"/>
      <c r="O80" s="881"/>
      <c r="P80" s="881"/>
      <c r="Q80" s="881"/>
      <c r="R80" s="881"/>
      <c r="S80" s="881"/>
      <c r="T80" s="881"/>
      <c r="U80" s="881"/>
      <c r="V80" s="881"/>
      <c r="W80" s="881"/>
      <c r="X80" s="881"/>
      <c r="Y80" s="881"/>
      <c r="Z80" s="881"/>
      <c r="AA80" s="882"/>
      <c r="AB80" s="881">
        <f t="shared" si="9"/>
        <v>75.099999999999994</v>
      </c>
      <c r="AC80" s="881"/>
      <c r="AD80" s="883"/>
      <c r="AE80" s="881">
        <f>+'Exhibit G'!AG62</f>
        <v>72.5</v>
      </c>
      <c r="AF80" s="881"/>
      <c r="AG80" s="881"/>
      <c r="AH80" s="881">
        <f t="shared" si="10"/>
        <v>2.6</v>
      </c>
      <c r="AI80" s="416"/>
      <c r="AJ80" s="2299">
        <f>ROUND(IF(AE80=0,0,AH80/ABS(AE80)),3)</f>
        <v>3.5999999999999997E-2</v>
      </c>
    </row>
    <row r="81" spans="1:36" ht="16.5" customHeight="1">
      <c r="A81" s="1541" t="s">
        <v>1130</v>
      </c>
      <c r="B81" s="1541"/>
      <c r="C81" s="881">
        <f>+'Exhibit F'!D74+'Exhibit G'!D63+'Exhibit H'!B37+'Exhibit I'!E46</f>
        <v>28.5</v>
      </c>
      <c r="D81" s="881"/>
      <c r="E81" s="881"/>
      <c r="F81" s="881"/>
      <c r="G81" s="881"/>
      <c r="H81" s="881"/>
      <c r="I81" s="881"/>
      <c r="J81" s="881"/>
      <c r="K81" s="881"/>
      <c r="L81" s="881"/>
      <c r="M81" s="881"/>
      <c r="N81" s="881"/>
      <c r="O81" s="881"/>
      <c r="P81" s="881"/>
      <c r="Q81" s="881"/>
      <c r="R81" s="881"/>
      <c r="S81" s="881"/>
      <c r="T81" s="881"/>
      <c r="U81" s="881"/>
      <c r="V81" s="881"/>
      <c r="W81" s="881"/>
      <c r="X81" s="881"/>
      <c r="Y81" s="881"/>
      <c r="Z81" s="881"/>
      <c r="AA81" s="882"/>
      <c r="AB81" s="881">
        <f t="shared" si="9"/>
        <v>28.5</v>
      </c>
      <c r="AC81" s="881"/>
      <c r="AD81" s="883"/>
      <c r="AE81" s="881">
        <f>+'Exhibit F'!AF74+'Exhibit G'!AG63+'Exhibit H'!AD37+'Exhibit I'!AI46</f>
        <v>10.1</v>
      </c>
      <c r="AF81" s="881"/>
      <c r="AG81" s="881"/>
      <c r="AH81" s="881">
        <f t="shared" si="10"/>
        <v>18.399999999999999</v>
      </c>
      <c r="AI81" s="416"/>
      <c r="AJ81" s="2299">
        <f>ROUND(IF(AE81=0,0,AH81/ABS(AE81)),3)</f>
        <v>1.8220000000000001</v>
      </c>
    </row>
    <row r="82" spans="1:36" ht="16.5" customHeight="1">
      <c r="A82" s="1541" t="s">
        <v>1257</v>
      </c>
      <c r="B82" s="1541"/>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c r="AA82" s="882"/>
      <c r="AB82" s="881"/>
      <c r="AC82" s="881"/>
      <c r="AD82" s="883"/>
      <c r="AE82" s="881"/>
      <c r="AF82" s="881"/>
      <c r="AG82" s="881"/>
      <c r="AH82" s="881"/>
      <c r="AI82" s="416"/>
      <c r="AJ82" s="1565"/>
    </row>
    <row r="83" spans="1:36" ht="16.5" customHeight="1">
      <c r="A83" s="1541" t="s">
        <v>1144</v>
      </c>
      <c r="B83" s="1541"/>
      <c r="C83" s="881">
        <f>+'Exhibit G'!D65+'Exhibit I'!E48</f>
        <v>315.8</v>
      </c>
      <c r="D83" s="881"/>
      <c r="E83" s="881"/>
      <c r="F83" s="881"/>
      <c r="G83" s="881"/>
      <c r="H83" s="881"/>
      <c r="I83" s="881"/>
      <c r="J83" s="881"/>
      <c r="K83" s="881"/>
      <c r="L83" s="881"/>
      <c r="M83" s="881"/>
      <c r="N83" s="881"/>
      <c r="O83" s="881"/>
      <c r="P83" s="881"/>
      <c r="Q83" s="881"/>
      <c r="R83" s="881"/>
      <c r="S83" s="881"/>
      <c r="T83" s="881"/>
      <c r="U83" s="881"/>
      <c r="V83" s="881"/>
      <c r="W83" s="881"/>
      <c r="X83" s="881"/>
      <c r="Y83" s="881"/>
      <c r="Z83" s="881"/>
      <c r="AA83" s="882"/>
      <c r="AB83" s="881">
        <f t="shared" si="9"/>
        <v>315.8</v>
      </c>
      <c r="AC83" s="881"/>
      <c r="AD83" s="883"/>
      <c r="AE83" s="881">
        <f>+'Exhibit G'!AG65+'Exhibit I'!AI48</f>
        <v>0</v>
      </c>
      <c r="AF83" s="881"/>
      <c r="AG83" s="881"/>
      <c r="AH83" s="881">
        <f t="shared" si="10"/>
        <v>315.8</v>
      </c>
      <c r="AI83" s="416"/>
      <c r="AJ83" s="2324">
        <f>ROUND(IF(AE83=0,1,AH83/ABS(AE83)),3)</f>
        <v>1</v>
      </c>
    </row>
    <row r="84" spans="1:36" ht="16.5" customHeight="1">
      <c r="A84" s="1541" t="s">
        <v>1145</v>
      </c>
      <c r="B84" s="1541"/>
      <c r="C84" s="881">
        <f>+'Exhibit F'!D76+'Exhibit G'!D66</f>
        <v>2.6</v>
      </c>
      <c r="D84" s="881"/>
      <c r="E84" s="881"/>
      <c r="F84" s="881"/>
      <c r="G84" s="881"/>
      <c r="H84" s="881"/>
      <c r="I84" s="881"/>
      <c r="J84" s="881"/>
      <c r="K84" s="881"/>
      <c r="L84" s="881"/>
      <c r="M84" s="881"/>
      <c r="N84" s="881"/>
      <c r="O84" s="881"/>
      <c r="P84" s="881"/>
      <c r="Q84" s="881"/>
      <c r="R84" s="881"/>
      <c r="S84" s="881"/>
      <c r="T84" s="881"/>
      <c r="U84" s="881"/>
      <c r="V84" s="881"/>
      <c r="W84" s="881"/>
      <c r="X84" s="881"/>
      <c r="Y84" s="881"/>
      <c r="Z84" s="881"/>
      <c r="AA84" s="882"/>
      <c r="AB84" s="881">
        <f t="shared" si="9"/>
        <v>2.6</v>
      </c>
      <c r="AC84" s="881"/>
      <c r="AD84" s="883"/>
      <c r="AE84" s="881">
        <f>+'Exhibit F'!AF76+'Exhibit G'!AG66</f>
        <v>0</v>
      </c>
      <c r="AF84" s="881"/>
      <c r="AG84" s="881"/>
      <c r="AH84" s="881">
        <f t="shared" si="10"/>
        <v>2.6</v>
      </c>
      <c r="AI84" s="416"/>
      <c r="AJ84" s="2324">
        <f>ROUND(IF(AE84=0,1,AH84/ABS(AE84)),3)</f>
        <v>1</v>
      </c>
    </row>
    <row r="85" spans="1:36" ht="16.5" customHeight="1">
      <c r="A85" s="1541" t="s">
        <v>1146</v>
      </c>
      <c r="B85" s="1541"/>
      <c r="C85" s="881">
        <f>+'Exhibit F'!D77+'Exhibit G'!D67</f>
        <v>11.9</v>
      </c>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2"/>
      <c r="AB85" s="881">
        <f t="shared" si="9"/>
        <v>11.9</v>
      </c>
      <c r="AC85" s="881"/>
      <c r="AD85" s="883"/>
      <c r="AE85" s="881">
        <f>+'Exhibit F'!AF77+'Exhibit G'!AG67</f>
        <v>3</v>
      </c>
      <c r="AF85" s="881"/>
      <c r="AG85" s="881"/>
      <c r="AH85" s="881">
        <f t="shared" si="10"/>
        <v>8.9</v>
      </c>
      <c r="AI85" s="416"/>
      <c r="AJ85" s="2372">
        <f t="shared" ref="AJ85:AJ88" si="12">ROUND(IF(AE85=0,0,AH85/ABS(AE85)),3)</f>
        <v>2.9670000000000001</v>
      </c>
    </row>
    <row r="86" spans="1:36" ht="16.5" customHeight="1">
      <c r="A86" s="1541" t="s">
        <v>1147</v>
      </c>
      <c r="B86" s="1541"/>
      <c r="C86" s="881">
        <f>+'Exhibit F'!D78+'Exhibit G'!D68+'Exhibit I'!E50</f>
        <v>5.5</v>
      </c>
      <c r="D86" s="881"/>
      <c r="E86" s="881"/>
      <c r="F86" s="881"/>
      <c r="G86" s="881"/>
      <c r="H86" s="881"/>
      <c r="I86" s="881"/>
      <c r="J86" s="881"/>
      <c r="K86" s="881"/>
      <c r="L86" s="881"/>
      <c r="M86" s="881"/>
      <c r="N86" s="881"/>
      <c r="O86" s="881"/>
      <c r="P86" s="881"/>
      <c r="Q86" s="881"/>
      <c r="R86" s="881"/>
      <c r="S86" s="881"/>
      <c r="T86" s="881"/>
      <c r="U86" s="881"/>
      <c r="V86" s="881"/>
      <c r="W86" s="881"/>
      <c r="X86" s="881"/>
      <c r="Y86" s="881"/>
      <c r="Z86" s="881"/>
      <c r="AA86" s="882"/>
      <c r="AB86" s="881">
        <f t="shared" si="9"/>
        <v>5.5</v>
      </c>
      <c r="AC86" s="881"/>
      <c r="AD86" s="883"/>
      <c r="AE86" s="881">
        <f>+'Exhibit F'!AF78+'Exhibit G'!AG68+'Exhibit I'!AI50</f>
        <v>8.6</v>
      </c>
      <c r="AF86" s="881"/>
      <c r="AG86" s="881"/>
      <c r="AH86" s="881">
        <f t="shared" si="10"/>
        <v>-3.1</v>
      </c>
      <c r="AI86" s="416"/>
      <c r="AJ86" s="2324">
        <f t="shared" si="12"/>
        <v>-0.36</v>
      </c>
    </row>
    <row r="87" spans="1:36" ht="16.5" customHeight="1">
      <c r="A87" s="1541" t="s">
        <v>1148</v>
      </c>
      <c r="B87" s="1541"/>
      <c r="C87" s="881">
        <f>+'Exhibit F'!D79+'Exhibit G'!D69+'Exhibit H'!B38+'Exhibit I'!E51</f>
        <v>20.999999999999996</v>
      </c>
      <c r="D87" s="881"/>
      <c r="E87" s="881"/>
      <c r="F87" s="881"/>
      <c r="G87" s="881"/>
      <c r="H87" s="881"/>
      <c r="I87" s="881"/>
      <c r="J87" s="881"/>
      <c r="K87" s="881"/>
      <c r="L87" s="881"/>
      <c r="M87" s="881"/>
      <c r="N87" s="881"/>
      <c r="O87" s="881"/>
      <c r="P87" s="881"/>
      <c r="Q87" s="881"/>
      <c r="R87" s="881"/>
      <c r="S87" s="881"/>
      <c r="T87" s="881"/>
      <c r="U87" s="881"/>
      <c r="V87" s="881"/>
      <c r="W87" s="881"/>
      <c r="X87" s="881"/>
      <c r="Y87" s="881"/>
      <c r="Z87" s="881"/>
      <c r="AA87" s="882"/>
      <c r="AB87" s="881">
        <f t="shared" si="9"/>
        <v>21</v>
      </c>
      <c r="AC87" s="881"/>
      <c r="AD87" s="883"/>
      <c r="AE87" s="881">
        <f>+'Exhibit F'!AF79+'Exhibit G'!AG69+'Exhibit H'!AD38+'Exhibit I'!AI51</f>
        <v>22.2</v>
      </c>
      <c r="AF87" s="881"/>
      <c r="AG87" s="881"/>
      <c r="AH87" s="881">
        <f t="shared" si="10"/>
        <v>-1.2</v>
      </c>
      <c r="AI87" s="416"/>
      <c r="AJ87" s="2324">
        <f t="shared" si="12"/>
        <v>-5.3999999999999999E-2</v>
      </c>
    </row>
    <row r="88" spans="1:36" ht="16.5" customHeight="1">
      <c r="A88" s="1541" t="s">
        <v>1149</v>
      </c>
      <c r="B88" s="1541"/>
      <c r="C88" s="881">
        <f>+'Exhibit F'!D80+'Exhibit G'!D70+'Exhibit H'!B39+'Exhibit I'!E52</f>
        <v>39.500000000000007</v>
      </c>
      <c r="D88" s="881"/>
      <c r="E88" s="881"/>
      <c r="F88" s="881"/>
      <c r="G88" s="881"/>
      <c r="H88" s="881"/>
      <c r="I88" s="881"/>
      <c r="J88" s="881"/>
      <c r="K88" s="881"/>
      <c r="L88" s="881"/>
      <c r="M88" s="881"/>
      <c r="N88" s="881"/>
      <c r="O88" s="881"/>
      <c r="P88" s="881"/>
      <c r="Q88" s="881"/>
      <c r="R88" s="881"/>
      <c r="S88" s="881"/>
      <c r="T88" s="881"/>
      <c r="U88" s="881"/>
      <c r="V88" s="881"/>
      <c r="W88" s="881"/>
      <c r="X88" s="881"/>
      <c r="Y88" s="881"/>
      <c r="Z88" s="881"/>
      <c r="AA88" s="882"/>
      <c r="AB88" s="881">
        <f t="shared" si="9"/>
        <v>39.5</v>
      </c>
      <c r="AC88" s="881"/>
      <c r="AD88" s="883"/>
      <c r="AE88" s="881">
        <f>+'Exhibit F'!AF80+'Exhibit G'!AG70+'Exhibit H'!AD39+'Exhibit I'!AI52</f>
        <v>46.199999999999996</v>
      </c>
      <c r="AF88" s="881"/>
      <c r="AG88" s="881"/>
      <c r="AH88" s="881">
        <f t="shared" si="10"/>
        <v>-6.7</v>
      </c>
      <c r="AI88" s="416"/>
      <c r="AJ88" s="2324">
        <f t="shared" si="12"/>
        <v>-0.14499999999999999</v>
      </c>
    </row>
    <row r="89" spans="1:36" ht="16.5" customHeight="1">
      <c r="A89" s="1541" t="s">
        <v>1258</v>
      </c>
      <c r="B89" s="1541"/>
      <c r="C89" s="881"/>
      <c r="D89" s="881"/>
      <c r="E89" s="881"/>
      <c r="F89" s="881"/>
      <c r="G89" s="881"/>
      <c r="H89" s="881"/>
      <c r="I89" s="881"/>
      <c r="J89" s="881"/>
      <c r="K89" s="881"/>
      <c r="L89" s="881"/>
      <c r="M89" s="881"/>
      <c r="N89" s="881"/>
      <c r="O89" s="881"/>
      <c r="P89" s="881"/>
      <c r="Q89" s="881"/>
      <c r="R89" s="881"/>
      <c r="S89" s="881"/>
      <c r="T89" s="881"/>
      <c r="U89" s="881"/>
      <c r="V89" s="881"/>
      <c r="W89" s="881"/>
      <c r="X89" s="881"/>
      <c r="Y89" s="881"/>
      <c r="Z89" s="881"/>
      <c r="AA89" s="882"/>
      <c r="AB89" s="881"/>
      <c r="AC89" s="881"/>
      <c r="AD89" s="883"/>
      <c r="AE89" s="881"/>
      <c r="AF89" s="881"/>
      <c r="AG89" s="881"/>
      <c r="AH89" s="881"/>
      <c r="AI89" s="416"/>
      <c r="AJ89" s="2324"/>
    </row>
    <row r="90" spans="1:36" ht="16.5" customHeight="1">
      <c r="A90" s="1541" t="s">
        <v>1150</v>
      </c>
      <c r="B90" s="1541"/>
      <c r="C90" s="881">
        <f>+'Exhibit F'!D82+'Exhibit G'!D72+'Exhibit I'!E54</f>
        <v>15.200000000000001</v>
      </c>
      <c r="D90" s="881"/>
      <c r="E90" s="881"/>
      <c r="F90" s="881"/>
      <c r="G90" s="881"/>
      <c r="H90" s="881"/>
      <c r="I90" s="881"/>
      <c r="J90" s="881"/>
      <c r="K90" s="881"/>
      <c r="L90" s="881"/>
      <c r="M90" s="881"/>
      <c r="N90" s="881"/>
      <c r="O90" s="881"/>
      <c r="P90" s="881"/>
      <c r="Q90" s="881"/>
      <c r="R90" s="881"/>
      <c r="S90" s="881"/>
      <c r="T90" s="881"/>
      <c r="U90" s="881"/>
      <c r="V90" s="881"/>
      <c r="W90" s="881"/>
      <c r="X90" s="881"/>
      <c r="Y90" s="881"/>
      <c r="Z90" s="881"/>
      <c r="AA90" s="882"/>
      <c r="AB90" s="881">
        <f t="shared" si="9"/>
        <v>15.2</v>
      </c>
      <c r="AC90" s="881"/>
      <c r="AD90" s="883"/>
      <c r="AE90" s="881">
        <f>+'Exhibit F'!AF82+'Exhibit G'!AG72+'Exhibit I'!AI54</f>
        <v>12.4</v>
      </c>
      <c r="AF90" s="881"/>
      <c r="AG90" s="881"/>
      <c r="AH90" s="881">
        <f t="shared" si="10"/>
        <v>2.8</v>
      </c>
      <c r="AI90" s="416"/>
      <c r="AJ90" s="2324">
        <f>ROUND(IF(AE90=0,0,AH90/ABS(AE90)),3)</f>
        <v>0.22600000000000001</v>
      </c>
    </row>
    <row r="91" spans="1:36" ht="16.5" customHeight="1">
      <c r="A91" s="1541" t="s">
        <v>1151</v>
      </c>
      <c r="B91" s="1541"/>
      <c r="C91" s="881">
        <f>+'Exhibit G'!D73+'Exhibit F'!D83</f>
        <v>0.4</v>
      </c>
      <c r="D91" s="881"/>
      <c r="E91" s="881"/>
      <c r="F91" s="881"/>
      <c r="G91" s="881"/>
      <c r="H91" s="881"/>
      <c r="I91" s="881"/>
      <c r="J91" s="881"/>
      <c r="K91" s="881"/>
      <c r="L91" s="881"/>
      <c r="M91" s="881"/>
      <c r="N91" s="881"/>
      <c r="O91" s="881"/>
      <c r="P91" s="881"/>
      <c r="Q91" s="881"/>
      <c r="R91" s="881"/>
      <c r="S91" s="881"/>
      <c r="T91" s="881"/>
      <c r="U91" s="881"/>
      <c r="V91" s="881"/>
      <c r="W91" s="881"/>
      <c r="X91" s="881"/>
      <c r="Y91" s="881"/>
      <c r="Z91" s="881"/>
      <c r="AA91" s="882"/>
      <c r="AB91" s="881">
        <f t="shared" si="9"/>
        <v>0.4</v>
      </c>
      <c r="AC91" s="881"/>
      <c r="AD91" s="883"/>
      <c r="AE91" s="881">
        <f>+'Exhibit G'!AG73+'Exhibit F'!AF83</f>
        <v>0</v>
      </c>
      <c r="AF91" s="881"/>
      <c r="AG91" s="881"/>
      <c r="AH91" s="881">
        <f t="shared" si="10"/>
        <v>0.4</v>
      </c>
      <c r="AI91" s="416"/>
      <c r="AJ91" s="2324">
        <f>ROUND(IF(AE91=0,1,AH91/ABS(AE91)),3)</f>
        <v>1</v>
      </c>
    </row>
    <row r="92" spans="1:36" ht="16.5" customHeight="1">
      <c r="A92" s="1541" t="s">
        <v>1152</v>
      </c>
      <c r="B92" s="1541"/>
      <c r="C92" s="881">
        <f>+'Exhibit F'!D84+'Exhibit G'!D74+'Exhibit I'!E55</f>
        <v>1.5</v>
      </c>
      <c r="D92" s="881"/>
      <c r="E92" s="881"/>
      <c r="F92" s="881"/>
      <c r="G92" s="881"/>
      <c r="H92" s="881"/>
      <c r="I92" s="881"/>
      <c r="J92" s="881"/>
      <c r="K92" s="881"/>
      <c r="L92" s="881"/>
      <c r="M92" s="881"/>
      <c r="N92" s="881"/>
      <c r="O92" s="881"/>
      <c r="P92" s="881"/>
      <c r="Q92" s="881"/>
      <c r="R92" s="881"/>
      <c r="S92" s="881"/>
      <c r="T92" s="881"/>
      <c r="U92" s="881"/>
      <c r="V92" s="881"/>
      <c r="W92" s="881"/>
      <c r="X92" s="881"/>
      <c r="Y92" s="881"/>
      <c r="Z92" s="881"/>
      <c r="AA92" s="882"/>
      <c r="AB92" s="881">
        <f t="shared" si="9"/>
        <v>1.5</v>
      </c>
      <c r="AC92" s="881"/>
      <c r="AD92" s="883"/>
      <c r="AE92" s="881">
        <f>+'Exhibit F'!AF84+'Exhibit G'!AG74+'Exhibit I'!AI55</f>
        <v>1.7000000000000002</v>
      </c>
      <c r="AF92" s="881"/>
      <c r="AG92" s="881"/>
      <c r="AH92" s="881">
        <f t="shared" si="10"/>
        <v>-0.2</v>
      </c>
      <c r="AI92" s="416"/>
      <c r="AJ92" s="1565">
        <f t="shared" ref="AJ92:AJ99" si="13">ROUND(IF(AE92=0,0,AH92/ABS(AE92)),3)</f>
        <v>-0.11799999999999999</v>
      </c>
    </row>
    <row r="93" spans="1:36" ht="16.5" customHeight="1">
      <c r="A93" s="1541" t="s">
        <v>1153</v>
      </c>
      <c r="B93" s="1541"/>
      <c r="C93" s="881">
        <f>+'Exhibit F'!D85+'Exhibit G'!D75</f>
        <v>1</v>
      </c>
      <c r="D93" s="881"/>
      <c r="E93" s="881"/>
      <c r="F93" s="881"/>
      <c r="G93" s="881"/>
      <c r="H93" s="881"/>
      <c r="I93" s="881"/>
      <c r="J93" s="881"/>
      <c r="K93" s="881"/>
      <c r="L93" s="881"/>
      <c r="M93" s="881"/>
      <c r="N93" s="881"/>
      <c r="O93" s="881"/>
      <c r="P93" s="881"/>
      <c r="Q93" s="881"/>
      <c r="R93" s="881"/>
      <c r="S93" s="881"/>
      <c r="T93" s="881"/>
      <c r="U93" s="881"/>
      <c r="V93" s="881"/>
      <c r="W93" s="881"/>
      <c r="X93" s="881"/>
      <c r="Y93" s="881"/>
      <c r="Z93" s="881"/>
      <c r="AA93" s="882"/>
      <c r="AB93" s="881">
        <f>ROUND(SUM(C93:Y93),1)</f>
        <v>1</v>
      </c>
      <c r="AC93" s="881"/>
      <c r="AD93" s="883"/>
      <c r="AE93" s="881">
        <f>+'Exhibit F'!AF85+'Exhibit G'!AG75+'Exhibit I'!AI56</f>
        <v>0.9</v>
      </c>
      <c r="AF93" s="881"/>
      <c r="AG93" s="881"/>
      <c r="AH93" s="881">
        <f t="shared" si="10"/>
        <v>0.1</v>
      </c>
      <c r="AI93" s="416"/>
      <c r="AJ93" s="1565">
        <f t="shared" si="13"/>
        <v>0.111</v>
      </c>
    </row>
    <row r="94" spans="1:36" ht="16.5" customHeight="1">
      <c r="A94" s="1541" t="s">
        <v>1154</v>
      </c>
      <c r="B94" s="1541"/>
      <c r="C94" s="881">
        <f>+'Exhibit G'!D76+'Exhibit H'!B41+'Exhibit F'!D86</f>
        <v>230.4</v>
      </c>
      <c r="D94" s="881"/>
      <c r="E94" s="881"/>
      <c r="F94" s="881"/>
      <c r="G94" s="881"/>
      <c r="H94" s="881"/>
      <c r="I94" s="881"/>
      <c r="J94" s="881"/>
      <c r="K94" s="881"/>
      <c r="L94" s="881"/>
      <c r="M94" s="881"/>
      <c r="N94" s="881"/>
      <c r="O94" s="881"/>
      <c r="P94" s="881"/>
      <c r="Q94" s="881"/>
      <c r="R94" s="881"/>
      <c r="S94" s="881"/>
      <c r="T94" s="881"/>
      <c r="U94" s="881"/>
      <c r="V94" s="881"/>
      <c r="W94" s="881"/>
      <c r="X94" s="881"/>
      <c r="Y94" s="881"/>
      <c r="Z94" s="881"/>
      <c r="AA94" s="882"/>
      <c r="AB94" s="881">
        <f t="shared" si="9"/>
        <v>230.4</v>
      </c>
      <c r="AC94" s="881"/>
      <c r="AD94" s="883"/>
      <c r="AE94" s="881">
        <f>+'Exhibit G'!AG76+'Exhibit H'!AD41</f>
        <v>195.7</v>
      </c>
      <c r="AF94" s="881"/>
      <c r="AG94" s="881"/>
      <c r="AH94" s="881">
        <f t="shared" si="10"/>
        <v>34.700000000000003</v>
      </c>
      <c r="AI94" s="416"/>
      <c r="AJ94" s="1565">
        <f t="shared" si="13"/>
        <v>0.17699999999999999</v>
      </c>
    </row>
    <row r="95" spans="1:36" ht="16.5" customHeight="1">
      <c r="A95" s="1541" t="s">
        <v>1155</v>
      </c>
      <c r="B95" s="1541"/>
      <c r="C95" s="881">
        <f>+'Exhibit G'!D77+'Exhibit F'!D87+'Exhibit I'!E57</f>
        <v>12.7</v>
      </c>
      <c r="D95" s="881"/>
      <c r="E95" s="881"/>
      <c r="F95" s="881"/>
      <c r="G95" s="881"/>
      <c r="H95" s="881"/>
      <c r="I95" s="881"/>
      <c r="J95" s="881"/>
      <c r="K95" s="881"/>
      <c r="L95" s="881"/>
      <c r="M95" s="881"/>
      <c r="N95" s="881"/>
      <c r="O95" s="881"/>
      <c r="P95" s="881"/>
      <c r="Q95" s="881"/>
      <c r="R95" s="881"/>
      <c r="S95" s="881"/>
      <c r="T95" s="881"/>
      <c r="U95" s="881"/>
      <c r="V95" s="881"/>
      <c r="W95" s="881"/>
      <c r="X95" s="881"/>
      <c r="Y95" s="881"/>
      <c r="Z95" s="881"/>
      <c r="AA95" s="882"/>
      <c r="AB95" s="2707">
        <f t="shared" si="9"/>
        <v>12.7</v>
      </c>
      <c r="AC95" s="881"/>
      <c r="AD95" s="883"/>
      <c r="AE95" s="881">
        <f>+'Exhibit G'!AG77+'Exhibit F'!AF87+'Exhibit I'!AI57</f>
        <v>11.700000000000001</v>
      </c>
      <c r="AF95" s="881"/>
      <c r="AG95" s="881"/>
      <c r="AH95" s="881">
        <f t="shared" si="10"/>
        <v>1</v>
      </c>
      <c r="AI95" s="416"/>
      <c r="AJ95" s="1565">
        <f t="shared" si="13"/>
        <v>8.5000000000000006E-2</v>
      </c>
    </row>
    <row r="96" spans="1:36" ht="16.5" customHeight="1">
      <c r="A96" s="1541" t="s">
        <v>1156</v>
      </c>
      <c r="B96" s="1541"/>
      <c r="C96" s="881">
        <f>+'Exhibit F'!D88+'Exhibit G'!D78+'Exhibit I'!E58</f>
        <v>152.69999999999999</v>
      </c>
      <c r="D96" s="881"/>
      <c r="E96" s="881"/>
      <c r="F96" s="881"/>
      <c r="G96" s="881"/>
      <c r="H96" s="881"/>
      <c r="I96" s="881"/>
      <c r="J96" s="881"/>
      <c r="K96" s="881"/>
      <c r="L96" s="881"/>
      <c r="M96" s="881"/>
      <c r="N96" s="881"/>
      <c r="O96" s="881"/>
      <c r="P96" s="881"/>
      <c r="Q96" s="881"/>
      <c r="R96" s="881"/>
      <c r="S96" s="881"/>
      <c r="T96" s="881"/>
      <c r="U96" s="881"/>
      <c r="V96" s="881"/>
      <c r="W96" s="881"/>
      <c r="X96" s="881"/>
      <c r="Y96" s="881"/>
      <c r="Z96" s="881"/>
      <c r="AA96" s="882"/>
      <c r="AB96" s="881">
        <f t="shared" si="9"/>
        <v>152.69999999999999</v>
      </c>
      <c r="AC96" s="881"/>
      <c r="AD96" s="883"/>
      <c r="AE96" s="881">
        <f>+'Exhibit F'!AF88+'Exhibit G'!AG78+'Exhibit I'!AI58</f>
        <v>5.4999999999999991</v>
      </c>
      <c r="AF96" s="881"/>
      <c r="AG96" s="881"/>
      <c r="AH96" s="881">
        <f t="shared" si="10"/>
        <v>147.19999999999999</v>
      </c>
      <c r="AI96" s="416"/>
      <c r="AJ96" s="2299">
        <f t="shared" si="13"/>
        <v>26.763999999999999</v>
      </c>
    </row>
    <row r="97" spans="1:45" ht="16.5" customHeight="1">
      <c r="A97" s="1541" t="s">
        <v>1157</v>
      </c>
      <c r="B97" s="1541"/>
      <c r="C97" s="881">
        <f>+'Exhibit F'!D89+'Exhibit G'!D79</f>
        <v>4.9000000000000004</v>
      </c>
      <c r="D97" s="881"/>
      <c r="E97" s="881"/>
      <c r="F97" s="881"/>
      <c r="G97" s="881"/>
      <c r="H97" s="881"/>
      <c r="I97" s="881"/>
      <c r="J97" s="881"/>
      <c r="K97" s="881"/>
      <c r="L97" s="881"/>
      <c r="M97" s="881"/>
      <c r="N97" s="881"/>
      <c r="O97" s="881"/>
      <c r="P97" s="881"/>
      <c r="Q97" s="881"/>
      <c r="R97" s="881"/>
      <c r="S97" s="881"/>
      <c r="T97" s="881"/>
      <c r="U97" s="881"/>
      <c r="V97" s="881"/>
      <c r="W97" s="881"/>
      <c r="X97" s="881"/>
      <c r="Y97" s="881"/>
      <c r="Z97" s="881"/>
      <c r="AA97" s="882"/>
      <c r="AB97" s="881">
        <f t="shared" si="9"/>
        <v>4.9000000000000004</v>
      </c>
      <c r="AC97" s="881"/>
      <c r="AD97" s="883"/>
      <c r="AE97" s="881">
        <f>+'Exhibit F'!AF89+'Exhibit G'!AG79</f>
        <v>8.1</v>
      </c>
      <c r="AF97" s="881"/>
      <c r="AG97" s="881"/>
      <c r="AH97" s="881">
        <f t="shared" si="10"/>
        <v>-3.2</v>
      </c>
      <c r="AI97" s="416"/>
      <c r="AJ97" s="1565">
        <f t="shared" si="13"/>
        <v>-0.39500000000000002</v>
      </c>
    </row>
    <row r="98" spans="1:45" ht="16.5" customHeight="1">
      <c r="A98" s="1541" t="s">
        <v>1158</v>
      </c>
      <c r="B98" s="1541"/>
      <c r="C98" s="881">
        <f>+'Exhibit F'!D90+'Exhibit G'!D80+'Exhibit I'!E59+'Exhibit H'!B42</f>
        <v>46</v>
      </c>
      <c r="D98" s="881"/>
      <c r="E98" s="881"/>
      <c r="F98" s="881"/>
      <c r="G98" s="881"/>
      <c r="H98" s="881"/>
      <c r="I98" s="881"/>
      <c r="J98" s="881"/>
      <c r="K98" s="881"/>
      <c r="L98" s="881"/>
      <c r="M98" s="881"/>
      <c r="N98" s="881"/>
      <c r="O98" s="881"/>
      <c r="P98" s="881"/>
      <c r="Q98" s="881"/>
      <c r="R98" s="881"/>
      <c r="S98" s="881"/>
      <c r="T98" s="881"/>
      <c r="U98" s="881"/>
      <c r="V98" s="881"/>
      <c r="W98" s="881"/>
      <c r="X98" s="881"/>
      <c r="Y98" s="881"/>
      <c r="Z98" s="881"/>
      <c r="AA98" s="882"/>
      <c r="AB98" s="881">
        <f t="shared" si="9"/>
        <v>46</v>
      </c>
      <c r="AC98" s="881"/>
      <c r="AD98" s="883"/>
      <c r="AE98" s="881">
        <f>+'Exhibit F'!AF90+'Exhibit G'!AG80+'Exhibit I'!AI59+'Exhibit H'!AD42</f>
        <v>51.9</v>
      </c>
      <c r="AF98" s="881"/>
      <c r="AG98" s="881"/>
      <c r="AH98" s="881">
        <f t="shared" si="10"/>
        <v>-5.9</v>
      </c>
      <c r="AI98" s="416"/>
      <c r="AJ98" s="1565">
        <f t="shared" si="13"/>
        <v>-0.114</v>
      </c>
    </row>
    <row r="99" spans="1:45" ht="16.5" customHeight="1">
      <c r="A99" s="1541" t="s">
        <v>1159</v>
      </c>
      <c r="B99" s="1541"/>
      <c r="C99" s="881">
        <f>+'Exhibit F'!D91+'Exhibit G'!D81+'Exhibit I'!E60</f>
        <v>2.6</v>
      </c>
      <c r="D99" s="881"/>
      <c r="E99" s="881"/>
      <c r="F99" s="881"/>
      <c r="G99" s="881"/>
      <c r="H99" s="881"/>
      <c r="I99" s="881"/>
      <c r="J99" s="881"/>
      <c r="K99" s="881"/>
      <c r="L99" s="881"/>
      <c r="M99" s="881"/>
      <c r="N99" s="881"/>
      <c r="O99" s="881"/>
      <c r="P99" s="881"/>
      <c r="Q99" s="881"/>
      <c r="R99" s="881"/>
      <c r="S99" s="881"/>
      <c r="T99" s="881"/>
      <c r="U99" s="881"/>
      <c r="V99" s="881"/>
      <c r="W99" s="881"/>
      <c r="X99" s="881"/>
      <c r="Y99" s="881"/>
      <c r="Z99" s="881"/>
      <c r="AA99" s="882"/>
      <c r="AB99" s="881">
        <f t="shared" si="9"/>
        <v>2.6</v>
      </c>
      <c r="AC99" s="881"/>
      <c r="AD99" s="883"/>
      <c r="AE99" s="881">
        <f>+'Exhibit F'!AF91+'Exhibit G'!AG81+'Exhibit I'!AI60+'Exhibit H'!AD43</f>
        <v>1.2</v>
      </c>
      <c r="AF99" s="881"/>
      <c r="AG99" s="881"/>
      <c r="AH99" s="881">
        <f t="shared" si="10"/>
        <v>1.4</v>
      </c>
      <c r="AI99" s="416"/>
      <c r="AJ99" s="1565">
        <f t="shared" si="13"/>
        <v>1.167</v>
      </c>
    </row>
    <row r="100" spans="1:45" ht="16.5" customHeight="1">
      <c r="A100" s="1541" t="s">
        <v>1160</v>
      </c>
      <c r="B100" s="1541"/>
      <c r="C100" s="881">
        <f>+'Exhibit G'!D82</f>
        <v>37.799999999999997</v>
      </c>
      <c r="D100" s="881"/>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881"/>
      <c r="AA100" s="882"/>
      <c r="AB100" s="881">
        <f t="shared" si="9"/>
        <v>37.799999999999997</v>
      </c>
      <c r="AC100" s="881"/>
      <c r="AD100" s="883"/>
      <c r="AE100" s="881">
        <f>+'Exhibit G'!AG82</f>
        <v>43.8</v>
      </c>
      <c r="AF100" s="881"/>
      <c r="AG100" s="881"/>
      <c r="AH100" s="881">
        <f t="shared" si="10"/>
        <v>-6</v>
      </c>
      <c r="AI100" s="416"/>
      <c r="AJ100" s="1565">
        <f>ROUND(IF(AE100=0,0,AH100/ABS(AE100)),3)</f>
        <v>-0.13700000000000001</v>
      </c>
    </row>
    <row r="101" spans="1:45" s="736" customFormat="1" ht="16.5" customHeight="1">
      <c r="A101" s="555" t="s">
        <v>1195</v>
      </c>
      <c r="B101" s="399"/>
      <c r="C101" s="463">
        <f>ROUND(SUM(C61:C100),1)</f>
        <v>2208.6999999999998</v>
      </c>
      <c r="D101" s="1790"/>
      <c r="E101" s="463">
        <f>ROUND(SUM(E61:E100),1)</f>
        <v>0</v>
      </c>
      <c r="F101" s="1790"/>
      <c r="G101" s="463">
        <f>ROUND(SUM(G61:G100),1)</f>
        <v>0</v>
      </c>
      <c r="H101" s="1587"/>
      <c r="I101" s="463">
        <f>ROUND(SUM(I61:I100),1)</f>
        <v>0</v>
      </c>
      <c r="J101" s="1587"/>
      <c r="K101" s="463">
        <f>ROUND(SUM(K61:K100),1)</f>
        <v>0</v>
      </c>
      <c r="L101" s="1587"/>
      <c r="M101" s="463">
        <f>ROUND(SUM(M61:M100),1)</f>
        <v>0</v>
      </c>
      <c r="N101" s="1587"/>
      <c r="O101" s="3388">
        <f>ROUND(SUM(O61:O100),1)</f>
        <v>0</v>
      </c>
      <c r="P101" s="1587"/>
      <c r="Q101" s="3388">
        <f>ROUND(SUM(Q61:Q100),1)</f>
        <v>0</v>
      </c>
      <c r="R101" s="1587"/>
      <c r="S101" s="463">
        <f>ROUND(SUM(S61:S100),1)</f>
        <v>0</v>
      </c>
      <c r="T101" s="1587"/>
      <c r="U101" s="463">
        <f>ROUND(SUM(U61:U100),1)</f>
        <v>0</v>
      </c>
      <c r="V101" s="1587"/>
      <c r="W101" s="463">
        <f>ROUND(SUM(W61:W100),1)</f>
        <v>0</v>
      </c>
      <c r="X101" s="397"/>
      <c r="Y101" s="463">
        <f>ROUND(SUM(Y61:Y100),1)</f>
        <v>0</v>
      </c>
      <c r="Z101" s="397"/>
      <c r="AA101" s="464"/>
      <c r="AB101" s="463">
        <f>ROUND(SUM(AB61:AB100),1)</f>
        <v>2208.6999999999998</v>
      </c>
      <c r="AC101" s="1587"/>
      <c r="AD101" s="252"/>
      <c r="AE101" s="463">
        <f>ROUND(SUM(AE61:AE100),1)</f>
        <v>1493.1</v>
      </c>
      <c r="AF101" s="264"/>
      <c r="AG101" s="1798"/>
      <c r="AH101" s="463">
        <f>ROUND(SUM(AH61:AH100),1)</f>
        <v>715.6</v>
      </c>
      <c r="AI101" s="264"/>
      <c r="AJ101" s="70">
        <f>ROUND(IF(AE101=0,0,AH101/ABS(AE101)),3)</f>
        <v>0.47899999999999998</v>
      </c>
    </row>
    <row r="102" spans="1:45" s="736" customFormat="1" ht="16.5" customHeight="1">
      <c r="A102" s="871"/>
      <c r="B102" s="871"/>
      <c r="C102" s="889"/>
      <c r="D102" s="889"/>
      <c r="E102" s="889"/>
      <c r="F102" s="889"/>
      <c r="G102" s="889"/>
      <c r="H102" s="889"/>
      <c r="I102" s="889"/>
      <c r="J102" s="889"/>
      <c r="K102" s="889"/>
      <c r="L102" s="889"/>
      <c r="M102" s="889"/>
      <c r="N102" s="889"/>
      <c r="O102" s="889"/>
      <c r="P102" s="889"/>
      <c r="Q102" s="889"/>
      <c r="R102" s="889"/>
      <c r="S102" s="889"/>
      <c r="T102" s="889"/>
      <c r="U102" s="889"/>
      <c r="V102" s="889"/>
      <c r="W102" s="889"/>
      <c r="X102" s="889"/>
      <c r="Y102" s="889"/>
      <c r="Z102" s="889"/>
      <c r="AA102" s="890"/>
      <c r="AB102" s="889"/>
      <c r="AC102" s="1797"/>
      <c r="AD102" s="890"/>
      <c r="AE102" s="889"/>
      <c r="AF102" s="1797"/>
      <c r="AG102" s="889"/>
      <c r="AH102" s="889"/>
      <c r="AI102" s="871"/>
      <c r="AJ102" s="489"/>
    </row>
    <row r="103" spans="1:45" ht="16.5" customHeight="1">
      <c r="A103" s="416" t="s">
        <v>21</v>
      </c>
      <c r="B103" s="416"/>
      <c r="C103" s="886">
        <f>+'Exhibit F'!D94+'Exhibit G'!D85+'Exhibit H'!B46+'Exhibit I'!E63</f>
        <v>3616</v>
      </c>
      <c r="D103" s="881"/>
      <c r="E103" s="886"/>
      <c r="F103" s="881"/>
      <c r="G103" s="886"/>
      <c r="H103" s="881"/>
      <c r="I103" s="886"/>
      <c r="J103" s="881"/>
      <c r="K103" s="886"/>
      <c r="L103" s="881"/>
      <c r="M103" s="886"/>
      <c r="N103" s="881"/>
      <c r="O103" s="886"/>
      <c r="P103" s="881"/>
      <c r="Q103" s="886"/>
      <c r="R103" s="881"/>
      <c r="S103" s="886"/>
      <c r="T103" s="881"/>
      <c r="U103" s="886"/>
      <c r="V103" s="881"/>
      <c r="W103" s="886"/>
      <c r="X103" s="881"/>
      <c r="Y103" s="886"/>
      <c r="Z103" s="881"/>
      <c r="AA103" s="882"/>
      <c r="AB103" s="885">
        <f>ROUND(SUM(C103:Y103),1)</f>
        <v>3616</v>
      </c>
      <c r="AC103" s="881"/>
      <c r="AD103" s="883"/>
      <c r="AE103" s="886">
        <f>+'Exhibit F'!AF94+'Exhibit G'!AG85+'Exhibit H'!AD46+'Exhibit I'!AI63</f>
        <v>3473.2</v>
      </c>
      <c r="AF103" s="893"/>
      <c r="AG103" s="881"/>
      <c r="AH103" s="885">
        <f>ROUND(SUM(AB103-AE103),1)</f>
        <v>142.80000000000001</v>
      </c>
      <c r="AI103" s="416"/>
      <c r="AJ103" s="2196">
        <f>ROUND(IF(AE103=0,0,AH103/ABS(AE103)),3)</f>
        <v>4.1000000000000002E-2</v>
      </c>
    </row>
    <row r="104" spans="1:45" ht="16.5" customHeight="1">
      <c r="A104" s="416"/>
      <c r="B104" s="416"/>
      <c r="C104" s="881"/>
      <c r="D104" s="881"/>
      <c r="E104" s="881"/>
      <c r="F104" s="881"/>
      <c r="G104" s="881"/>
      <c r="H104" s="881"/>
      <c r="I104" s="881"/>
      <c r="J104" s="881"/>
      <c r="K104" s="881"/>
      <c r="L104" s="881"/>
      <c r="M104" s="881"/>
      <c r="N104" s="881"/>
      <c r="O104" s="881"/>
      <c r="P104" s="881"/>
      <c r="Q104" s="881"/>
      <c r="R104" s="881"/>
      <c r="S104" s="881"/>
      <c r="T104" s="881"/>
      <c r="U104" s="881"/>
      <c r="V104" s="881"/>
      <c r="W104" s="881"/>
      <c r="X104" s="881"/>
      <c r="Y104" s="881"/>
      <c r="Z104" s="881"/>
      <c r="AA104" s="882"/>
      <c r="AB104" s="881"/>
      <c r="AC104" s="881"/>
      <c r="AD104" s="883"/>
      <c r="AE104" s="881"/>
      <c r="AF104" s="893"/>
      <c r="AG104" s="881"/>
      <c r="AH104" s="881"/>
      <c r="AI104" s="416"/>
      <c r="AJ104" s="887"/>
    </row>
    <row r="105" spans="1:45" ht="16.5" customHeight="1">
      <c r="A105" s="216" t="s">
        <v>152</v>
      </c>
      <c r="B105" s="217"/>
      <c r="C105" s="1461">
        <f>ROUND(SUM(C103+C101+C57),1)</f>
        <v>13682</v>
      </c>
      <c r="D105" s="1587"/>
      <c r="E105" s="1461">
        <f>ROUND(SUM(E103+E101+E57),1)</f>
        <v>0</v>
      </c>
      <c r="F105" s="1587"/>
      <c r="G105" s="1461">
        <f>ROUND(SUM(G103+G101+G57),1)</f>
        <v>0</v>
      </c>
      <c r="H105" s="1587"/>
      <c r="I105" s="1461">
        <f>ROUND(SUM(I103+I101+I57),1)</f>
        <v>0</v>
      </c>
      <c r="J105" s="1587"/>
      <c r="K105" s="1461">
        <f>ROUND(SUM(K103+K101+K57),1)</f>
        <v>0</v>
      </c>
      <c r="L105" s="1587"/>
      <c r="M105" s="1461">
        <f>ROUND(SUM(M103+M101+M57),1)</f>
        <v>0</v>
      </c>
      <c r="N105" s="1587"/>
      <c r="O105" s="1856">
        <f>ROUND(SUM(O103+O101+O57),1)</f>
        <v>0</v>
      </c>
      <c r="P105" s="1587"/>
      <c r="Q105" s="1856">
        <f>ROUND(SUM(Q103+Q101+Q57),1)</f>
        <v>0</v>
      </c>
      <c r="R105" s="1587"/>
      <c r="S105" s="1461">
        <f>ROUND(SUM(S103+S101+S57),1)</f>
        <v>0</v>
      </c>
      <c r="T105" s="1587"/>
      <c r="U105" s="1461">
        <f>ROUND(SUM(U103+U101+U57),1)</f>
        <v>0</v>
      </c>
      <c r="V105" s="1587"/>
      <c r="W105" s="1461">
        <f>ROUND(SUM(W103+W101+W57),1)</f>
        <v>0</v>
      </c>
      <c r="X105" s="397"/>
      <c r="Y105" s="1461">
        <f>ROUND(SUM(Y103+Y101+Y57),1)</f>
        <v>0</v>
      </c>
      <c r="Z105" s="457"/>
      <c r="AA105" s="458"/>
      <c r="AB105" s="1461">
        <f>ROUND(SUM(AB103+AB101+AB57),1)</f>
        <v>13682</v>
      </c>
      <c r="AC105" s="1587"/>
      <c r="AD105" s="252"/>
      <c r="AE105" s="1461">
        <f>ROUND(SUM(AE103+AE101+AE57),1)</f>
        <v>12107</v>
      </c>
      <c r="AF105" s="264"/>
      <c r="AG105" s="1798"/>
      <c r="AH105" s="1461">
        <f>ROUND(SUM(AH103+AH101+AH57),1)</f>
        <v>1575</v>
      </c>
      <c r="AI105" s="264"/>
      <c r="AJ105" s="1658">
        <f>ROUND(IF(AE105=0,0,AH105/ABS(AE105)),3)</f>
        <v>0.13</v>
      </c>
      <c r="AK105" s="736"/>
      <c r="AL105" s="736"/>
      <c r="AM105" s="736"/>
      <c r="AN105" s="736"/>
      <c r="AO105" s="736"/>
      <c r="AP105" s="736"/>
      <c r="AQ105" s="736"/>
      <c r="AR105" s="736"/>
      <c r="AS105" s="736"/>
    </row>
    <row r="106" spans="1:45" ht="16.5" customHeight="1">
      <c r="A106" s="397"/>
      <c r="B106" s="416"/>
      <c r="C106" s="892"/>
      <c r="D106" s="881"/>
      <c r="E106" s="892"/>
      <c r="F106" s="881"/>
      <c r="G106" s="892"/>
      <c r="H106" s="881"/>
      <c r="I106" s="892"/>
      <c r="J106" s="881"/>
      <c r="K106" s="892"/>
      <c r="L106" s="881"/>
      <c r="M106" s="892"/>
      <c r="N106" s="881"/>
      <c r="O106" s="892"/>
      <c r="P106" s="881"/>
      <c r="Q106" s="892"/>
      <c r="R106" s="881"/>
      <c r="S106" s="892"/>
      <c r="T106" s="881"/>
      <c r="U106" s="892"/>
      <c r="V106" s="881"/>
      <c r="W106" s="892"/>
      <c r="X106" s="881"/>
      <c r="Y106" s="892"/>
      <c r="Z106" s="881"/>
      <c r="AA106" s="882"/>
      <c r="AB106" s="892"/>
      <c r="AC106" s="881"/>
      <c r="AD106" s="883"/>
      <c r="AE106" s="892"/>
      <c r="AF106" s="881"/>
      <c r="AG106" s="881"/>
      <c r="AH106" s="1042"/>
      <c r="AI106" s="416"/>
      <c r="AJ106" s="1438"/>
    </row>
    <row r="107" spans="1:45" ht="16.5" customHeight="1">
      <c r="A107" s="397" t="s">
        <v>23</v>
      </c>
      <c r="B107" s="416"/>
      <c r="C107" s="893"/>
      <c r="D107" s="881"/>
      <c r="E107" s="893"/>
      <c r="F107" s="881"/>
      <c r="G107" s="893"/>
      <c r="H107" s="881"/>
      <c r="I107" s="893"/>
      <c r="J107" s="881"/>
      <c r="K107" s="893"/>
      <c r="L107" s="881"/>
      <c r="M107" s="893"/>
      <c r="N107" s="881"/>
      <c r="O107" s="893"/>
      <c r="P107" s="881"/>
      <c r="Q107" s="893"/>
      <c r="R107" s="881"/>
      <c r="S107" s="893"/>
      <c r="T107" s="881"/>
      <c r="U107" s="893"/>
      <c r="V107" s="881"/>
      <c r="W107" s="893"/>
      <c r="X107" s="881"/>
      <c r="Y107" s="893"/>
      <c r="Z107" s="881"/>
      <c r="AA107" s="882"/>
      <c r="AB107" s="893"/>
      <c r="AC107" s="881"/>
      <c r="AD107" s="883"/>
      <c r="AE107" s="893"/>
      <c r="AF107" s="881"/>
      <c r="AG107" s="881"/>
      <c r="AH107" s="1042"/>
      <c r="AI107" s="416"/>
      <c r="AJ107" s="1438"/>
    </row>
    <row r="108" spans="1:45" ht="16.5" customHeight="1">
      <c r="A108" s="416" t="s">
        <v>139</v>
      </c>
      <c r="B108" s="416"/>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2"/>
      <c r="AB108" s="881"/>
      <c r="AC108" s="881"/>
      <c r="AD108" s="883"/>
      <c r="AE108" s="254"/>
      <c r="AF108" s="881"/>
      <c r="AG108" s="881"/>
      <c r="AH108" s="881"/>
      <c r="AI108" s="416"/>
      <c r="AJ108" s="1629"/>
    </row>
    <row r="109" spans="1:45" ht="16.5" customHeight="1">
      <c r="A109" s="460" t="s">
        <v>25</v>
      </c>
      <c r="B109" s="416"/>
      <c r="C109" s="881">
        <f>+'Exhibit F'!D100+'Exhibit G'!D91+'Exhibit I'!E69</f>
        <v>1566.1000000000001</v>
      </c>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1"/>
      <c r="AA109" s="882"/>
      <c r="AB109" s="254">
        <f>ROUND(SUM(C109:Y109),1)</f>
        <v>1566.1</v>
      </c>
      <c r="AC109" s="881"/>
      <c r="AD109" s="883"/>
      <c r="AE109" s="254">
        <f>+'Exhibit F'!AF100+'Exhibit G'!AG91+'Exhibit I'!AI69</f>
        <v>1247.7</v>
      </c>
      <c r="AF109" s="881"/>
      <c r="AG109" s="881"/>
      <c r="AH109" s="881">
        <f>ROUND(SUM(AB109-AE109),1)</f>
        <v>318.39999999999998</v>
      </c>
      <c r="AI109" s="416"/>
      <c r="AJ109" s="1565">
        <f>ROUND(IF(AE109=0,0,AH109/ABS(AE109)),3)</f>
        <v>0.255</v>
      </c>
    </row>
    <row r="110" spans="1:45" ht="16.5" customHeight="1">
      <c r="A110" s="460" t="s">
        <v>26</v>
      </c>
      <c r="B110" s="416"/>
      <c r="C110" s="881">
        <f>+'Exhibit F'!D101+'Exhibit G'!D92+'Exhibit I'!E70</f>
        <v>8</v>
      </c>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1"/>
      <c r="AA110" s="882"/>
      <c r="AB110" s="254">
        <f t="shared" ref="AB110:AB117" si="14">ROUND(SUM(C110:Y110),1)</f>
        <v>8</v>
      </c>
      <c r="AC110" s="881"/>
      <c r="AD110" s="883"/>
      <c r="AE110" s="254">
        <f>+'Exhibit F'!AF101+'Exhibit G'!AG92+'Exhibit I'!AI70</f>
        <v>2.6999999999999997</v>
      </c>
      <c r="AF110" s="881"/>
      <c r="AG110" s="881"/>
      <c r="AH110" s="881">
        <f t="shared" ref="AH110:AH117" si="15">ROUND(SUM(AB110-AE110),1)</f>
        <v>5.3</v>
      </c>
      <c r="AI110" s="416"/>
      <c r="AJ110" s="1565">
        <f>ROUND(IF(AE110=0,0,AH110/ABS(AE110)),3)</f>
        <v>1.9630000000000001</v>
      </c>
    </row>
    <row r="111" spans="1:45" ht="16.5" customHeight="1">
      <c r="A111" s="460" t="s">
        <v>27</v>
      </c>
      <c r="B111" s="416"/>
      <c r="C111" s="881">
        <f>+'Exhibit F'!D102+'Exhibit G'!D93+'Exhibit I'!E71</f>
        <v>39.700000000000003</v>
      </c>
      <c r="D111" s="881"/>
      <c r="E111" s="881"/>
      <c r="F111" s="881"/>
      <c r="G111" s="881"/>
      <c r="H111" s="881"/>
      <c r="I111" s="881"/>
      <c r="J111" s="881"/>
      <c r="K111" s="881"/>
      <c r="L111" s="881"/>
      <c r="M111" s="881"/>
      <c r="N111" s="881"/>
      <c r="O111" s="881"/>
      <c r="P111" s="881"/>
      <c r="Q111" s="881"/>
      <c r="R111" s="881"/>
      <c r="S111" s="881"/>
      <c r="T111" s="881"/>
      <c r="U111" s="881"/>
      <c r="V111" s="881"/>
      <c r="W111" s="881"/>
      <c r="X111" s="881"/>
      <c r="Y111" s="881"/>
      <c r="Z111" s="881"/>
      <c r="AA111" s="882"/>
      <c r="AB111" s="254">
        <f t="shared" si="14"/>
        <v>39.700000000000003</v>
      </c>
      <c r="AC111" s="881"/>
      <c r="AD111" s="883"/>
      <c r="AE111" s="254">
        <f>+'Exhibit F'!AF102+'Exhibit G'!AG93+'Exhibit I'!AI71</f>
        <v>24.1</v>
      </c>
      <c r="AF111" s="881"/>
      <c r="AG111" s="881"/>
      <c r="AH111" s="881">
        <f t="shared" si="15"/>
        <v>15.6</v>
      </c>
      <c r="AI111" s="416"/>
      <c r="AJ111" s="1565">
        <f>ROUND(IF(AE111=0,0,AH111/ABS(AE111)),3)</f>
        <v>0.64700000000000002</v>
      </c>
    </row>
    <row r="112" spans="1:45" ht="16.5" customHeight="1">
      <c r="A112" s="460" t="s">
        <v>28</v>
      </c>
      <c r="B112" s="416"/>
      <c r="C112" s="881"/>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1"/>
      <c r="AA112" s="882"/>
      <c r="AB112" s="254"/>
      <c r="AC112" s="881"/>
      <c r="AD112" s="883"/>
      <c r="AE112" s="360"/>
      <c r="AF112" s="881"/>
      <c r="AG112" s="881"/>
      <c r="AH112" s="881" t="s">
        <v>15</v>
      </c>
      <c r="AI112" s="416"/>
      <c r="AJ112" s="1629"/>
    </row>
    <row r="113" spans="1:44" ht="16.5" customHeight="1">
      <c r="A113" s="461" t="s">
        <v>29</v>
      </c>
      <c r="B113" s="416"/>
      <c r="C113" s="881">
        <f>+'Exhibit F'!D104+'Exhibit G'!D95+'Exhibit I'!E73</f>
        <v>4373.7000000000007</v>
      </c>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1"/>
      <c r="AA113" s="882"/>
      <c r="AB113" s="254">
        <f t="shared" si="14"/>
        <v>4373.7</v>
      </c>
      <c r="AC113" s="881"/>
      <c r="AD113" s="883"/>
      <c r="AE113" s="254">
        <f>+'Exhibit F'!AF104+'Exhibit G'!AG95+'Exhibit I'!AI73</f>
        <v>4456.8999999999996</v>
      </c>
      <c r="AF113" s="881"/>
      <c r="AG113" s="881"/>
      <c r="AH113" s="881">
        <f t="shared" si="15"/>
        <v>-83.2</v>
      </c>
      <c r="AI113" s="416"/>
      <c r="AJ113" s="1565">
        <f t="shared" ref="AJ113:AJ119" si="16">ROUND(IF(AE113=0,0,AH113/ABS(AE113)),3)</f>
        <v>-1.9E-2</v>
      </c>
      <c r="AK113" s="404"/>
    </row>
    <row r="114" spans="1:44" ht="16.5" customHeight="1">
      <c r="A114" s="460" t="s">
        <v>30</v>
      </c>
      <c r="B114" s="416"/>
      <c r="C114" s="881">
        <f>+'Exhibit F'!D105+'Exhibit G'!D96+'Exhibit I'!E74</f>
        <v>757.49999999999989</v>
      </c>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2"/>
      <c r="AB114" s="254">
        <f t="shared" si="14"/>
        <v>757.5</v>
      </c>
      <c r="AC114" s="884"/>
      <c r="AD114" s="881"/>
      <c r="AE114" s="254">
        <f>+'Exhibit F'!AF105+'Exhibit G'!AG96+'Exhibit I'!AI74</f>
        <v>537.5</v>
      </c>
      <c r="AF114" s="881"/>
      <c r="AG114" s="881"/>
      <c r="AH114" s="881">
        <f t="shared" si="15"/>
        <v>220</v>
      </c>
      <c r="AI114" s="416"/>
      <c r="AJ114" s="1565">
        <f t="shared" si="16"/>
        <v>0.40899999999999997</v>
      </c>
    </row>
    <row r="115" spans="1:44" ht="16.5" customHeight="1">
      <c r="A115" s="460" t="s">
        <v>31</v>
      </c>
      <c r="B115" s="416"/>
      <c r="C115" s="881">
        <f>+'Exhibit F'!D106+'Exhibit G'!D97+'Exhibit I'!E75</f>
        <v>90.299999999999983</v>
      </c>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1"/>
      <c r="AA115" s="882"/>
      <c r="AB115" s="254">
        <f t="shared" si="14"/>
        <v>90.3</v>
      </c>
      <c r="AC115" s="894"/>
      <c r="AD115" s="883"/>
      <c r="AE115" s="254">
        <f>+'Exhibit F'!AF106+'Exhibit G'!AG97+'Exhibit I'!AI75</f>
        <v>137</v>
      </c>
      <c r="AF115" s="881"/>
      <c r="AG115" s="881"/>
      <c r="AH115" s="881">
        <f t="shared" si="15"/>
        <v>-46.7</v>
      </c>
      <c r="AI115" s="416"/>
      <c r="AJ115" s="1565">
        <f t="shared" si="16"/>
        <v>-0.34100000000000003</v>
      </c>
    </row>
    <row r="116" spans="1:44" ht="16.5" customHeight="1">
      <c r="A116" s="460" t="s">
        <v>32</v>
      </c>
      <c r="B116" s="416"/>
      <c r="C116" s="881">
        <f>+'Exhibit F'!D107+'Exhibit G'!D98+'Exhibit I'!E76</f>
        <v>460.1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1"/>
      <c r="AA116" s="882"/>
      <c r="AB116" s="254">
        <f t="shared" si="14"/>
        <v>460.1</v>
      </c>
      <c r="AC116" s="894"/>
      <c r="AD116" s="883"/>
      <c r="AE116" s="254">
        <f>+'Exhibit F'!AF107+'Exhibit G'!AG98+'Exhibit I'!AI76</f>
        <v>446.6</v>
      </c>
      <c r="AF116" s="881"/>
      <c r="AG116" s="881"/>
      <c r="AH116" s="881">
        <f t="shared" si="15"/>
        <v>13.5</v>
      </c>
      <c r="AI116" s="416"/>
      <c r="AJ116" s="1565">
        <f t="shared" si="16"/>
        <v>0.03</v>
      </c>
    </row>
    <row r="117" spans="1:44" ht="16.5" customHeight="1">
      <c r="A117" s="460" t="s">
        <v>33</v>
      </c>
      <c r="B117" s="416"/>
      <c r="C117" s="881">
        <f>+'Exhibit F'!D108+'Exhibit G'!D99+'Exhibit I'!E77</f>
        <v>112</v>
      </c>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2"/>
      <c r="AB117" s="254">
        <f t="shared" si="14"/>
        <v>112</v>
      </c>
      <c r="AC117" s="894"/>
      <c r="AD117" s="883"/>
      <c r="AE117" s="254">
        <f>+'Exhibit F'!AF108+'Exhibit G'!AG99+'Exhibit I'!AI77</f>
        <v>165.89999999999998</v>
      </c>
      <c r="AF117" s="881"/>
      <c r="AG117" s="881"/>
      <c r="AH117" s="881">
        <f t="shared" si="15"/>
        <v>-53.9</v>
      </c>
      <c r="AI117" s="416"/>
      <c r="AJ117" s="1565">
        <f t="shared" si="16"/>
        <v>-0.32500000000000001</v>
      </c>
    </row>
    <row r="118" spans="1:44" ht="16.5" customHeight="1">
      <c r="A118" s="460" t="s">
        <v>34</v>
      </c>
      <c r="B118" s="416"/>
      <c r="C118" s="881">
        <f>+'Exhibit F'!D109+'Exhibit G'!D100+'Exhibit I'!E78</f>
        <v>293.3</v>
      </c>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c r="AA118" s="882"/>
      <c r="AB118" s="881">
        <f>ROUND(SUM(C118:Y118),1)</f>
        <v>293.3</v>
      </c>
      <c r="AC118" s="894"/>
      <c r="AD118" s="883"/>
      <c r="AE118" s="254">
        <f>+'Exhibit F'!AF109+'Exhibit G'!AG100+'Exhibit I'!AI78</f>
        <v>285.60000000000002</v>
      </c>
      <c r="AF118" s="881"/>
      <c r="AG118" s="881"/>
      <c r="AH118" s="881">
        <f>ROUND(SUM(AB118-AE118),1)</f>
        <v>7.7</v>
      </c>
      <c r="AI118" s="416"/>
      <c r="AJ118" s="1565">
        <f t="shared" si="16"/>
        <v>2.7E-2</v>
      </c>
    </row>
    <row r="119" spans="1:44" ht="16.5" customHeight="1">
      <c r="A119" s="416" t="s">
        <v>35</v>
      </c>
      <c r="B119" s="416"/>
      <c r="C119" s="898">
        <f>ROUND(SUM(C109:C118),1)</f>
        <v>7700.7</v>
      </c>
      <c r="D119" s="889"/>
      <c r="E119" s="898">
        <f>ROUND(SUM(E109:E118),1)</f>
        <v>0</v>
      </c>
      <c r="F119" s="889"/>
      <c r="G119" s="898">
        <f>ROUND(SUM(G109:G118),1)</f>
        <v>0</v>
      </c>
      <c r="H119" s="889"/>
      <c r="I119" s="898">
        <f>ROUND(SUM(I109:I118),1)</f>
        <v>0</v>
      </c>
      <c r="J119" s="889"/>
      <c r="K119" s="898">
        <f>ROUND(SUM(K109:K118),1)</f>
        <v>0</v>
      </c>
      <c r="L119" s="889"/>
      <c r="M119" s="898">
        <f>ROUND(SUM(M109:M118),1)</f>
        <v>0</v>
      </c>
      <c r="N119" s="889"/>
      <c r="O119" s="898">
        <f>ROUND(SUM(O109:O118),1)</f>
        <v>0</v>
      </c>
      <c r="P119" s="889"/>
      <c r="Q119" s="898">
        <f>ROUND(SUM(Q109:Q118),1)</f>
        <v>0</v>
      </c>
      <c r="R119" s="889"/>
      <c r="S119" s="898">
        <f>ROUND(SUM(S109:S118),1)</f>
        <v>0</v>
      </c>
      <c r="T119" s="889"/>
      <c r="U119" s="898">
        <f>ROUND(SUM(U109:U118),1)</f>
        <v>0</v>
      </c>
      <c r="V119" s="889"/>
      <c r="W119" s="898">
        <f>ROUND(SUM(W109:W118),1)</f>
        <v>0</v>
      </c>
      <c r="X119" s="889"/>
      <c r="Y119" s="898">
        <f>ROUND(SUM(Y109:Y118),1)</f>
        <v>0</v>
      </c>
      <c r="Z119" s="889"/>
      <c r="AA119" s="890"/>
      <c r="AB119" s="898">
        <f>ROUND(SUM(AB109:AB118),1)</f>
        <v>7700.7</v>
      </c>
      <c r="AC119" s="899"/>
      <c r="AD119" s="891"/>
      <c r="AE119" s="898">
        <f>ROUND(SUM(AE109:AE118),1)</f>
        <v>7304</v>
      </c>
      <c r="AF119" s="889"/>
      <c r="AG119" s="889"/>
      <c r="AH119" s="898">
        <f>ROUND(SUM(AH109:AH118),1)</f>
        <v>396.7</v>
      </c>
      <c r="AI119" s="871"/>
      <c r="AJ119" s="70">
        <f t="shared" si="16"/>
        <v>5.3999999999999999E-2</v>
      </c>
      <c r="AK119" s="736"/>
      <c r="AL119" s="736"/>
    </row>
    <row r="120" spans="1:44" ht="16.5" customHeight="1">
      <c r="A120" s="416" t="s">
        <v>36</v>
      </c>
      <c r="B120" s="416"/>
      <c r="C120" s="893"/>
      <c r="D120" s="881"/>
      <c r="E120" s="893"/>
      <c r="F120" s="881"/>
      <c r="G120" s="893"/>
      <c r="H120" s="881"/>
      <c r="I120" s="893"/>
      <c r="J120" s="881"/>
      <c r="K120" s="893"/>
      <c r="L120" s="881"/>
      <c r="M120" s="893"/>
      <c r="N120" s="881"/>
      <c r="O120" s="893"/>
      <c r="P120" s="881"/>
      <c r="Q120" s="893"/>
      <c r="R120" s="881"/>
      <c r="S120" s="893"/>
      <c r="T120" s="881"/>
      <c r="U120" s="893"/>
      <c r="V120" s="881"/>
      <c r="W120" s="893"/>
      <c r="X120" s="881"/>
      <c r="Y120" s="893"/>
      <c r="Z120" s="881"/>
      <c r="AA120" s="882"/>
      <c r="AB120" s="893"/>
      <c r="AC120" s="881"/>
      <c r="AD120" s="883"/>
      <c r="AE120" s="243"/>
      <c r="AF120" s="881"/>
      <c r="AG120" s="881"/>
      <c r="AH120" s="1042"/>
      <c r="AI120" s="416"/>
      <c r="AJ120" s="1438"/>
    </row>
    <row r="121" spans="1:44" ht="16.5" customHeight="1">
      <c r="A121" s="416" t="s">
        <v>140</v>
      </c>
      <c r="B121" s="416"/>
      <c r="C121" s="881">
        <f>+'Exhibit F'!D112+'Exhibit G'!D103+'Exhibit I'!E81</f>
        <v>1102.5</v>
      </c>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1"/>
      <c r="AA121" s="882"/>
      <c r="AB121" s="881">
        <f>ROUND(SUM(C121:Y121),1)</f>
        <v>1102.5</v>
      </c>
      <c r="AC121" s="881"/>
      <c r="AD121" s="883"/>
      <c r="AE121" s="243">
        <f>+'Exhibit F'!AF112+'Exhibit G'!AG103+'Exhibit I'!AI81</f>
        <v>1100</v>
      </c>
      <c r="AF121" s="881"/>
      <c r="AG121" s="881"/>
      <c r="AH121" s="881">
        <f>ROUND(SUM(AB121-AE121),1)</f>
        <v>2.5</v>
      </c>
      <c r="AI121" s="416"/>
      <c r="AJ121" s="1565">
        <f>ROUND(IF(AE121=0,0,AH121/ABS(AE121)),3)</f>
        <v>2E-3</v>
      </c>
    </row>
    <row r="122" spans="1:44" ht="16.5" customHeight="1">
      <c r="A122" s="416" t="s">
        <v>141</v>
      </c>
      <c r="B122" s="416"/>
      <c r="C122" s="881">
        <f>+'Exhibit F'!D113+'Exhibit G'!D104+'Exhibit H'!B52+'Exhibit I'!E82</f>
        <v>416.9</v>
      </c>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1"/>
      <c r="AA122" s="882"/>
      <c r="AB122" s="881">
        <f>ROUND(SUM(C122:Y122),1)</f>
        <v>416.9</v>
      </c>
      <c r="AC122" s="881"/>
      <c r="AD122" s="883"/>
      <c r="AE122" s="243">
        <f>+'Exhibit F'!AF113+'Exhibit G'!AG104+'Exhibit H'!AD52+'Exhibit I'!AI82</f>
        <v>368.9</v>
      </c>
      <c r="AF122" s="881"/>
      <c r="AG122" s="881"/>
      <c r="AH122" s="881">
        <f>ROUND(SUM(AB122-AE122),1)</f>
        <v>48</v>
      </c>
      <c r="AI122" s="416"/>
      <c r="AJ122" s="1565">
        <f>ROUND(IF(AE122=0,0,AH122/ABS(AE122)),3)</f>
        <v>0.13</v>
      </c>
    </row>
    <row r="123" spans="1:44" ht="16.5" customHeight="1">
      <c r="A123" s="416" t="s">
        <v>39</v>
      </c>
      <c r="B123" s="416"/>
      <c r="C123" s="881">
        <f>+'Exhibit F'!D114+'Exhibit G'!D105+'Exhibit I'!E83</f>
        <v>2865.5</v>
      </c>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1"/>
      <c r="AA123" s="882"/>
      <c r="AB123" s="881">
        <f>ROUND(SUM(C123:Y123),1)</f>
        <v>2865.5</v>
      </c>
      <c r="AC123" s="881"/>
      <c r="AD123" s="883"/>
      <c r="AE123" s="243">
        <f>+'Exhibit F'!AF114+'Exhibit G'!AG105+'Exhibit H'!AD53+'Exhibit I'!AI83</f>
        <v>2459.2999999999997</v>
      </c>
      <c r="AF123" s="881"/>
      <c r="AG123" s="881"/>
      <c r="AH123" s="881">
        <f>ROUND(SUM(AB123-AE123),1)</f>
        <v>406.2</v>
      </c>
      <c r="AI123" s="416"/>
      <c r="AJ123" s="1565">
        <f>ROUND(IF(AE123=0,0,AH123/ABS(AE123)),3)</f>
        <v>0.16500000000000001</v>
      </c>
    </row>
    <row r="124" spans="1:44" ht="16.5" customHeight="1">
      <c r="A124" s="416" t="s">
        <v>1392</v>
      </c>
      <c r="B124" s="416"/>
      <c r="C124" s="893"/>
      <c r="D124" s="881"/>
      <c r="E124" s="893"/>
      <c r="F124" s="881"/>
      <c r="G124" s="893"/>
      <c r="H124" s="881"/>
      <c r="I124" s="893"/>
      <c r="J124" s="881"/>
      <c r="K124" s="893"/>
      <c r="L124" s="881"/>
      <c r="M124" s="893"/>
      <c r="N124" s="881"/>
      <c r="O124" s="893"/>
      <c r="P124" s="881"/>
      <c r="Q124" s="893"/>
      <c r="R124" s="881"/>
      <c r="S124" s="893"/>
      <c r="T124" s="881"/>
      <c r="U124" s="893"/>
      <c r="V124" s="881"/>
      <c r="W124" s="893"/>
      <c r="X124" s="881"/>
      <c r="Y124" s="893"/>
      <c r="Z124" s="881"/>
      <c r="AA124" s="882"/>
      <c r="AB124" s="881"/>
      <c r="AC124" s="881"/>
      <c r="AD124" s="883"/>
      <c r="AE124" s="893"/>
      <c r="AF124" s="881"/>
      <c r="AG124" s="881"/>
      <c r="AH124" s="881"/>
      <c r="AI124" s="416"/>
      <c r="AJ124" s="1629"/>
    </row>
    <row r="125" spans="1:44" ht="16.5" customHeight="1">
      <c r="A125" s="416" t="s">
        <v>41</v>
      </c>
      <c r="B125" s="416"/>
      <c r="C125" s="881">
        <f>+'Exhibit H'!B54</f>
        <v>64.099999999999994</v>
      </c>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1"/>
      <c r="AA125" s="882"/>
      <c r="AB125" s="881">
        <f>ROUND(SUM(C125:Y125),1)</f>
        <v>64.099999999999994</v>
      </c>
      <c r="AC125" s="881"/>
      <c r="AD125" s="883"/>
      <c r="AE125" s="243">
        <f>+'Exhibit H'!AD54</f>
        <v>87.2</v>
      </c>
      <c r="AF125" s="881"/>
      <c r="AG125" s="881"/>
      <c r="AH125" s="881">
        <f>ROUND(SUM(AB125-AE125),1)</f>
        <v>-23.1</v>
      </c>
      <c r="AI125" s="416"/>
      <c r="AJ125" s="1565">
        <f>ROUND(IF(AE125=0,0,AH125/ABS(AE125)),3)</f>
        <v>-0.26500000000000001</v>
      </c>
    </row>
    <row r="126" spans="1:44" ht="16.5" customHeight="1">
      <c r="A126" s="897" t="s">
        <v>142</v>
      </c>
      <c r="B126" s="416"/>
      <c r="C126" s="886">
        <f>+'Exhibit G'!D106+'Exhibit I'!E84</f>
        <v>361.2</v>
      </c>
      <c r="D126" s="881"/>
      <c r="E126" s="886"/>
      <c r="F126" s="881"/>
      <c r="G126" s="886"/>
      <c r="H126" s="881"/>
      <c r="I126" s="886"/>
      <c r="J126" s="881"/>
      <c r="K126" s="886"/>
      <c r="L126" s="881"/>
      <c r="M126" s="886"/>
      <c r="N126" s="881"/>
      <c r="O126" s="886"/>
      <c r="P126" s="881"/>
      <c r="Q126" s="886"/>
      <c r="R126" s="881"/>
      <c r="S126" s="886"/>
      <c r="T126" s="881"/>
      <c r="U126" s="886"/>
      <c r="V126" s="881"/>
      <c r="W126" s="886"/>
      <c r="X126" s="881"/>
      <c r="Y126" s="886"/>
      <c r="Z126" s="881"/>
      <c r="AA126" s="882"/>
      <c r="AB126" s="885">
        <f>ROUND(SUM(C126:Y126),1)</f>
        <v>361.2</v>
      </c>
      <c r="AC126" s="881"/>
      <c r="AD126" s="883"/>
      <c r="AE126" s="896">
        <f>+'Exhibit G'!AG106+'Exhibit I'!AI84</f>
        <v>350</v>
      </c>
      <c r="AF126" s="881"/>
      <c r="AG126" s="881"/>
      <c r="AH126" s="885">
        <f>ROUND(SUM(AB126-AE126),1)</f>
        <v>11.2</v>
      </c>
      <c r="AI126" s="416"/>
      <c r="AJ126" s="2196">
        <f>ROUND(IF(AE126=0,0,AH126/ABS(AE126)),3)</f>
        <v>3.2000000000000001E-2</v>
      </c>
    </row>
    <row r="127" spans="1:44" ht="16.5" customHeight="1">
      <c r="A127" s="416"/>
      <c r="B127" s="416"/>
      <c r="C127" s="893"/>
      <c r="D127" s="881"/>
      <c r="E127" s="893"/>
      <c r="F127" s="881"/>
      <c r="G127" s="893"/>
      <c r="H127" s="881"/>
      <c r="I127" s="893"/>
      <c r="J127" s="881"/>
      <c r="K127" s="893"/>
      <c r="L127" s="881"/>
      <c r="M127" s="893"/>
      <c r="N127" s="881"/>
      <c r="O127" s="893"/>
      <c r="P127" s="881"/>
      <c r="Q127" s="893"/>
      <c r="R127" s="881"/>
      <c r="S127" s="893"/>
      <c r="T127" s="881"/>
      <c r="U127" s="893"/>
      <c r="V127" s="881"/>
      <c r="W127" s="893"/>
      <c r="X127" s="881"/>
      <c r="Y127" s="893"/>
      <c r="Z127" s="881"/>
      <c r="AA127" s="882"/>
      <c r="AB127" s="893"/>
      <c r="AC127" s="881"/>
      <c r="AD127" s="883"/>
      <c r="AE127" s="893"/>
      <c r="AF127" s="881"/>
      <c r="AG127" s="881"/>
      <c r="AH127" s="893"/>
      <c r="AI127" s="416"/>
      <c r="AJ127" s="1130"/>
    </row>
    <row r="128" spans="1:44" ht="16.5" customHeight="1">
      <c r="A128" s="397" t="s">
        <v>59</v>
      </c>
      <c r="B128" s="416"/>
      <c r="C128" s="888">
        <f>ROUND(SUM(C119:C126),1)</f>
        <v>12510.9</v>
      </c>
      <c r="D128" s="889"/>
      <c r="E128" s="888">
        <f>ROUND(SUM(E119:E126),1)</f>
        <v>0</v>
      </c>
      <c r="F128" s="889"/>
      <c r="G128" s="888">
        <f>ROUND(SUM(G119:G126),1)</f>
        <v>0</v>
      </c>
      <c r="H128" s="889"/>
      <c r="I128" s="888">
        <f>ROUND(SUM(I119:I126),1)</f>
        <v>0</v>
      </c>
      <c r="J128" s="889"/>
      <c r="K128" s="888">
        <f>ROUND(SUM(K119:K126),1)</f>
        <v>0</v>
      </c>
      <c r="L128" s="889"/>
      <c r="M128" s="888">
        <f>ROUND(SUM(M119:M126),1)</f>
        <v>0</v>
      </c>
      <c r="N128" s="889"/>
      <c r="O128" s="888">
        <f>ROUND(SUM(O119:O126),1)</f>
        <v>0</v>
      </c>
      <c r="P128" s="889"/>
      <c r="Q128" s="888">
        <f>ROUND(SUM(Q119:Q126),1)</f>
        <v>0</v>
      </c>
      <c r="R128" s="889"/>
      <c r="S128" s="888">
        <f>ROUND(SUM(S119:S126),1)</f>
        <v>0</v>
      </c>
      <c r="T128" s="889"/>
      <c r="U128" s="888">
        <f>ROUND(SUM(U119:U126),1)</f>
        <v>0</v>
      </c>
      <c r="V128" s="889"/>
      <c r="W128" s="888">
        <f>ROUND(SUM(W119:W126),1)</f>
        <v>0</v>
      </c>
      <c r="X128" s="889"/>
      <c r="Y128" s="888">
        <f>ROUND(SUM(Y119:Y126),1)</f>
        <v>0</v>
      </c>
      <c r="Z128" s="889"/>
      <c r="AA128" s="890"/>
      <c r="AB128" s="888">
        <f>ROUND(SUM(AB119:AB126),1)</f>
        <v>12510.9</v>
      </c>
      <c r="AC128" s="889"/>
      <c r="AD128" s="891"/>
      <c r="AE128" s="888">
        <f>ROUND(SUM(AE119:AE126),1)</f>
        <v>11669.4</v>
      </c>
      <c r="AF128" s="889"/>
      <c r="AG128" s="889"/>
      <c r="AH128" s="888">
        <f>ROUND(SUM(AB128-AE128),1)</f>
        <v>841.5</v>
      </c>
      <c r="AI128" s="871"/>
      <c r="AJ128" s="1658">
        <f>ROUND(IF(AE128=0,0,AH128/ABS(AE128)),3)</f>
        <v>7.1999999999999995E-2</v>
      </c>
      <c r="AK128" s="736"/>
      <c r="AL128" s="736"/>
      <c r="AM128" s="736"/>
      <c r="AN128" s="736"/>
      <c r="AO128" s="736"/>
      <c r="AP128" s="736"/>
      <c r="AQ128" s="736"/>
      <c r="AR128" s="736"/>
    </row>
    <row r="129" spans="1:59" ht="16.5" customHeight="1">
      <c r="A129" s="397"/>
      <c r="B129" s="416"/>
      <c r="C129" s="881"/>
      <c r="D129" s="881"/>
      <c r="E129" s="881"/>
      <c r="F129" s="881"/>
      <c r="G129" s="881"/>
      <c r="H129" s="881"/>
      <c r="I129" s="881"/>
      <c r="J129" s="881"/>
      <c r="K129" s="881"/>
      <c r="L129" s="881"/>
      <c r="M129" s="881"/>
      <c r="N129" s="881"/>
      <c r="O129" s="881"/>
      <c r="P129" s="881"/>
      <c r="Q129" s="881"/>
      <c r="R129" s="881"/>
      <c r="S129" s="881"/>
      <c r="T129" s="881"/>
      <c r="U129" s="881"/>
      <c r="V129" s="881"/>
      <c r="W129" s="881"/>
      <c r="X129" s="881"/>
      <c r="Y129" s="881"/>
      <c r="Z129" s="881"/>
      <c r="AA129" s="882"/>
      <c r="AB129" s="881"/>
      <c r="AC129" s="881"/>
      <c r="AD129" s="883"/>
      <c r="AE129" s="881"/>
      <c r="AF129" s="881"/>
      <c r="AG129" s="881"/>
      <c r="AH129" s="1042"/>
      <c r="AI129" s="416"/>
      <c r="AJ129" s="1438"/>
    </row>
    <row r="130" spans="1:59" ht="16.5" customHeight="1">
      <c r="A130" s="397" t="s">
        <v>44</v>
      </c>
      <c r="B130" s="416"/>
      <c r="C130" s="881"/>
      <c r="D130" s="881"/>
      <c r="E130" s="881"/>
      <c r="F130" s="881"/>
      <c r="G130" s="881"/>
      <c r="H130" s="881"/>
      <c r="I130" s="881"/>
      <c r="J130" s="881"/>
      <c r="K130" s="881"/>
      <c r="L130" s="881"/>
      <c r="M130" s="881"/>
      <c r="N130" s="881"/>
      <c r="O130" s="881"/>
      <c r="P130" s="881"/>
      <c r="Q130" s="881"/>
      <c r="R130" s="881"/>
      <c r="S130" s="881"/>
      <c r="T130" s="881"/>
      <c r="U130" s="881"/>
      <c r="V130" s="881"/>
      <c r="W130" s="881"/>
      <c r="X130" s="881"/>
      <c r="Y130" s="881"/>
      <c r="Z130" s="881"/>
      <c r="AA130" s="882"/>
      <c r="AB130" s="881"/>
      <c r="AC130" s="881"/>
      <c r="AD130" s="883"/>
      <c r="AE130" s="881"/>
      <c r="AF130" s="881"/>
      <c r="AG130" s="881"/>
      <c r="AH130" s="1042"/>
      <c r="AI130" s="416"/>
      <c r="AJ130" s="1438"/>
    </row>
    <row r="131" spans="1:59" ht="16.5" customHeight="1">
      <c r="A131" s="397" t="s">
        <v>45</v>
      </c>
      <c r="B131" s="416"/>
      <c r="C131" s="888">
        <f>ROUND(SUM(C105-C128),1)</f>
        <v>1171.0999999999999</v>
      </c>
      <c r="D131" s="889"/>
      <c r="E131" s="888">
        <f>ROUND(SUM(E105-E128),1)</f>
        <v>0</v>
      </c>
      <c r="F131" s="889"/>
      <c r="G131" s="888">
        <f>ROUND(SUM(G105-G128),1)</f>
        <v>0</v>
      </c>
      <c r="H131" s="889"/>
      <c r="I131" s="888">
        <f>ROUND(SUM(I105-I128),1)</f>
        <v>0</v>
      </c>
      <c r="J131" s="889"/>
      <c r="K131" s="888">
        <f>ROUND(SUM(K105-K128),1)</f>
        <v>0</v>
      </c>
      <c r="L131" s="889"/>
      <c r="M131" s="888">
        <f>ROUND(SUM(M105-M128),1)</f>
        <v>0</v>
      </c>
      <c r="N131" s="889"/>
      <c r="O131" s="888">
        <f>ROUND(SUM(O105-O128),1)</f>
        <v>0</v>
      </c>
      <c r="P131" s="889"/>
      <c r="Q131" s="888">
        <f>ROUND(SUM(Q105-Q128),1)</f>
        <v>0</v>
      </c>
      <c r="R131" s="889"/>
      <c r="S131" s="888">
        <f>ROUND(SUM(S105-S128),1)</f>
        <v>0</v>
      </c>
      <c r="T131" s="889"/>
      <c r="U131" s="888">
        <f>ROUND(SUM(U105-U128),1)</f>
        <v>0</v>
      </c>
      <c r="V131" s="889"/>
      <c r="W131" s="888">
        <f>ROUND(SUM(W105-W128),1)</f>
        <v>0</v>
      </c>
      <c r="X131" s="889"/>
      <c r="Y131" s="888">
        <f>ROUND(SUM(Y105-Y128),1)</f>
        <v>0</v>
      </c>
      <c r="Z131" s="889"/>
      <c r="AA131" s="890"/>
      <c r="AB131" s="888">
        <f>ROUND(SUM(AB105-AB128),1)</f>
        <v>1171.0999999999999</v>
      </c>
      <c r="AC131" s="889"/>
      <c r="AD131" s="891"/>
      <c r="AE131" s="888">
        <f>ROUND(SUM(AE105-AE128),1)</f>
        <v>437.6</v>
      </c>
      <c r="AF131" s="889"/>
      <c r="AG131" s="889"/>
      <c r="AH131" s="900">
        <f>ROUND(SUM(AB131-AE131),1)</f>
        <v>733.5</v>
      </c>
      <c r="AI131" s="871"/>
      <c r="AJ131" s="2287">
        <f>ROUND(IF(AE131=0,0,AH131/ABS(AE131)),3)</f>
        <v>1.6759999999999999</v>
      </c>
      <c r="AK131" s="736"/>
      <c r="AL131" s="736"/>
    </row>
    <row r="132" spans="1:59" ht="16.5" customHeight="1">
      <c r="A132" s="355"/>
      <c r="B132" s="416"/>
      <c r="C132" s="892"/>
      <c r="D132" s="881"/>
      <c r="E132" s="892"/>
      <c r="F132" s="881"/>
      <c r="G132" s="892"/>
      <c r="H132" s="881"/>
      <c r="I132" s="892"/>
      <c r="J132" s="881"/>
      <c r="K132" s="892"/>
      <c r="L132" s="881"/>
      <c r="M132" s="892"/>
      <c r="N132" s="881"/>
      <c r="O132" s="892"/>
      <c r="P132" s="881"/>
      <c r="Q132" s="892"/>
      <c r="R132" s="881"/>
      <c r="S132" s="892"/>
      <c r="T132" s="881"/>
      <c r="U132" s="892"/>
      <c r="V132" s="881"/>
      <c r="W132" s="892"/>
      <c r="X132" s="881"/>
      <c r="Y132" s="892"/>
      <c r="Z132" s="895"/>
      <c r="AA132" s="882"/>
      <c r="AB132" s="892"/>
      <c r="AC132" s="881"/>
      <c r="AD132" s="883"/>
      <c r="AE132" s="892"/>
      <c r="AF132" s="881"/>
      <c r="AG132" s="881"/>
      <c r="AH132" s="1042"/>
      <c r="AI132" s="416"/>
      <c r="AJ132" s="1438"/>
    </row>
    <row r="133" spans="1:59" ht="16.5" customHeight="1">
      <c r="A133" s="397" t="s">
        <v>46</v>
      </c>
      <c r="B133" s="416"/>
      <c r="C133" s="3575"/>
      <c r="D133" s="881"/>
      <c r="E133" s="901"/>
      <c r="F133" s="902"/>
      <c r="G133" s="901"/>
      <c r="H133" s="902"/>
      <c r="I133" s="901"/>
      <c r="J133" s="902"/>
      <c r="K133" s="901"/>
      <c r="L133" s="902"/>
      <c r="M133" s="901"/>
      <c r="N133" s="902"/>
      <c r="O133" s="901"/>
      <c r="P133" s="902"/>
      <c r="Q133" s="901"/>
      <c r="R133" s="902"/>
      <c r="S133" s="901"/>
      <c r="T133" s="902"/>
      <c r="U133" s="901"/>
      <c r="V133" s="881"/>
      <c r="W133" s="901"/>
      <c r="X133" s="881"/>
      <c r="Y133" s="901"/>
      <c r="Z133" s="884"/>
      <c r="AA133" s="882"/>
      <c r="AB133" s="893"/>
      <c r="AC133" s="884"/>
      <c r="AD133" s="881"/>
      <c r="AE133" s="893"/>
      <c r="AF133" s="881"/>
      <c r="AG133" s="881"/>
      <c r="AH133" s="1042"/>
      <c r="AI133" s="416"/>
      <c r="AJ133" s="1438"/>
    </row>
    <row r="134" spans="1:59" ht="16.5" customHeight="1">
      <c r="A134" s="416" t="s">
        <v>47</v>
      </c>
      <c r="B134" s="416"/>
      <c r="C134" s="3551">
        <f>'Exhibit I'!AA92</f>
        <v>0</v>
      </c>
      <c r="D134" s="881"/>
      <c r="E134" s="3551"/>
      <c r="F134" s="3552"/>
      <c r="G134" s="3551"/>
      <c r="H134" s="3552"/>
      <c r="I134" s="3551"/>
      <c r="J134" s="3552"/>
      <c r="K134" s="3551"/>
      <c r="L134" s="3552"/>
      <c r="M134" s="3551"/>
      <c r="N134" s="3552"/>
      <c r="O134" s="3551"/>
      <c r="P134" s="3552"/>
      <c r="Q134" s="3551"/>
      <c r="R134" s="3552"/>
      <c r="S134" s="3551"/>
      <c r="T134" s="3552"/>
      <c r="U134" s="3551"/>
      <c r="V134" s="2707"/>
      <c r="W134" s="3551"/>
      <c r="X134" s="2707"/>
      <c r="Y134" s="3551"/>
      <c r="Z134" s="881"/>
      <c r="AA134" s="882"/>
      <c r="AB134" s="881">
        <f>ROUND(SUM(C134:Y134),1)</f>
        <v>0</v>
      </c>
      <c r="AC134" s="881"/>
      <c r="AD134" s="883"/>
      <c r="AE134" s="904">
        <v>0</v>
      </c>
      <c r="AF134" s="881"/>
      <c r="AG134" s="881"/>
      <c r="AH134" s="881">
        <f>ROUND(SUM(AB134-AE134),1)</f>
        <v>0</v>
      </c>
      <c r="AI134" s="873"/>
      <c r="AJ134" s="2324">
        <f>ROUND(IF(AE134=0,0,AH134/ABS(AE134)),3)</f>
        <v>0</v>
      </c>
    </row>
    <row r="135" spans="1:59" ht="16.5" customHeight="1">
      <c r="A135" s="416" t="s">
        <v>48</v>
      </c>
      <c r="B135" s="416"/>
      <c r="C135" s="3551">
        <f>+'Exhibit A'!V49</f>
        <v>4144.2</v>
      </c>
      <c r="D135" s="881"/>
      <c r="E135" s="3551"/>
      <c r="F135" s="2707"/>
      <c r="G135" s="3551"/>
      <c r="H135" s="2707"/>
      <c r="I135" s="3551"/>
      <c r="J135" s="2707"/>
      <c r="K135" s="3551"/>
      <c r="L135" s="2707"/>
      <c r="M135" s="3551"/>
      <c r="N135" s="2707"/>
      <c r="O135" s="3551"/>
      <c r="P135" s="2707"/>
      <c r="Q135" s="3551"/>
      <c r="R135" s="2707"/>
      <c r="S135" s="3551"/>
      <c r="T135" s="2707"/>
      <c r="U135" s="3551"/>
      <c r="V135" s="2707"/>
      <c r="W135" s="3551"/>
      <c r="X135" s="2707"/>
      <c r="Y135" s="3551"/>
      <c r="Z135" s="881"/>
      <c r="AA135" s="882"/>
      <c r="AB135" s="881">
        <f>ROUND(SUM(C135:Y135),1)</f>
        <v>4144.2</v>
      </c>
      <c r="AC135" s="881"/>
      <c r="AD135" s="882"/>
      <c r="AE135" s="881">
        <f>+'Exhibit A'!AD49</f>
        <v>3449.1</v>
      </c>
      <c r="AF135" s="881"/>
      <c r="AG135" s="881"/>
      <c r="AH135" s="881">
        <f>ROUND(SUM(AB135-AE135),1)</f>
        <v>695.1</v>
      </c>
      <c r="AI135" s="416"/>
      <c r="AJ135" s="2324">
        <f>ROUND(IF(AE135=0,0,AH135/ABS(AE135)),3)</f>
        <v>0.20200000000000001</v>
      </c>
    </row>
    <row r="136" spans="1:59" ht="16.5" customHeight="1">
      <c r="A136" s="416" t="s">
        <v>49</v>
      </c>
      <c r="C136" s="3553">
        <f>+'Exhibit A'!V50</f>
        <v>-4050.8</v>
      </c>
      <c r="D136" s="242"/>
      <c r="E136" s="3553"/>
      <c r="F136" s="494"/>
      <c r="G136" s="3553"/>
      <c r="H136" s="494"/>
      <c r="I136" s="3553"/>
      <c r="J136" s="494"/>
      <c r="K136" s="3553"/>
      <c r="L136" s="494"/>
      <c r="M136" s="3553"/>
      <c r="N136" s="494"/>
      <c r="O136" s="3553"/>
      <c r="P136" s="494"/>
      <c r="Q136" s="3553"/>
      <c r="R136" s="494"/>
      <c r="S136" s="3553"/>
      <c r="T136" s="494"/>
      <c r="U136" s="3553"/>
      <c r="V136" s="494"/>
      <c r="W136" s="3553"/>
      <c r="X136" s="494"/>
      <c r="Y136" s="3553"/>
      <c r="Z136" s="242"/>
      <c r="AA136" s="905"/>
      <c r="AB136" s="885">
        <f>ROUND(SUM(C136:Y136),1)</f>
        <v>-4050.8</v>
      </c>
      <c r="AC136" s="242"/>
      <c r="AD136" s="905"/>
      <c r="AE136" s="885">
        <f>+'Exhibit A'!AD50</f>
        <v>-3475</v>
      </c>
      <c r="AF136" s="242"/>
      <c r="AG136" s="242"/>
      <c r="AH136" s="885">
        <f>ROUND(SUM(-AB136+AE136),1)</f>
        <v>575.79999999999995</v>
      </c>
      <c r="AI136" s="1438"/>
      <c r="AJ136" s="2327">
        <f>ROUND(IF(AE136=0,0,AH136/ABS(AE136)),3)</f>
        <v>0.16600000000000001</v>
      </c>
      <c r="AK136" s="2385"/>
    </row>
    <row r="137" spans="1:59" ht="16.5" customHeight="1">
      <c r="A137" s="416"/>
      <c r="C137" s="3575"/>
      <c r="D137" s="242"/>
      <c r="E137" s="893"/>
      <c r="F137" s="242"/>
      <c r="G137" s="893"/>
      <c r="H137" s="242"/>
      <c r="I137" s="893"/>
      <c r="J137" s="242"/>
      <c r="K137" s="893"/>
      <c r="L137" s="242"/>
      <c r="M137" s="893"/>
      <c r="N137" s="242"/>
      <c r="O137" s="893"/>
      <c r="P137" s="242"/>
      <c r="Q137" s="893"/>
      <c r="R137" s="242"/>
      <c r="S137" s="893"/>
      <c r="T137" s="242"/>
      <c r="U137" s="893"/>
      <c r="V137" s="242"/>
      <c r="W137" s="893"/>
      <c r="X137" s="242"/>
      <c r="Y137" s="893"/>
      <c r="Z137" s="242"/>
      <c r="AA137" s="905"/>
      <c r="AB137" s="893"/>
      <c r="AC137" s="242"/>
      <c r="AD137" s="905"/>
      <c r="AE137" s="893"/>
      <c r="AF137" s="242"/>
      <c r="AG137" s="242"/>
      <c r="AH137" s="893"/>
      <c r="AI137" s="1438"/>
      <c r="AJ137" s="1130"/>
    </row>
    <row r="138" spans="1:59" ht="16.5" customHeight="1">
      <c r="A138" s="397" t="s">
        <v>50</v>
      </c>
      <c r="C138" s="3576">
        <f>ROUND(SUM(C134:C136),1)</f>
        <v>93.4</v>
      </c>
      <c r="D138" s="906"/>
      <c r="E138" s="888">
        <f>ROUND(SUM(E134:E136),1)</f>
        <v>0</v>
      </c>
      <c r="F138" s="906"/>
      <c r="G138" s="888">
        <f>ROUND(SUM(G134:G136),1)</f>
        <v>0</v>
      </c>
      <c r="H138" s="906"/>
      <c r="I138" s="888">
        <f>ROUND(SUM(I134:I136),1)</f>
        <v>0</v>
      </c>
      <c r="J138" s="906"/>
      <c r="K138" s="888">
        <f>ROUND(SUM(K134:K136),1)</f>
        <v>0</v>
      </c>
      <c r="L138" s="906"/>
      <c r="M138" s="888">
        <f>ROUND(SUM(M134:M136),1)</f>
        <v>0</v>
      </c>
      <c r="N138" s="906"/>
      <c r="O138" s="888">
        <f>ROUND(SUM(O134:O136),1)</f>
        <v>0</v>
      </c>
      <c r="P138" s="906"/>
      <c r="Q138" s="888">
        <f>ROUND(SUM(Q134:Q136),1)</f>
        <v>0</v>
      </c>
      <c r="R138" s="906"/>
      <c r="S138" s="888">
        <f>ROUND(SUM(S134:S136),1)</f>
        <v>0</v>
      </c>
      <c r="T138" s="906"/>
      <c r="U138" s="888">
        <f>ROUND(SUM(U134:U136),1)</f>
        <v>0</v>
      </c>
      <c r="V138" s="906"/>
      <c r="W138" s="888">
        <f>ROUND(SUM(W134:W136),1)</f>
        <v>0</v>
      </c>
      <c r="X138" s="906"/>
      <c r="Y138" s="888">
        <f>ROUND(SUM(Y134:Y136),1)</f>
        <v>0</v>
      </c>
      <c r="Z138" s="906"/>
      <c r="AA138" s="907"/>
      <c r="AB138" s="888">
        <f>ROUND(SUM(AB134:AB137),1)</f>
        <v>93.4</v>
      </c>
      <c r="AC138" s="906"/>
      <c r="AD138" s="907"/>
      <c r="AE138" s="888">
        <f>SUM(AE134:AE137)</f>
        <v>-25.900000000000091</v>
      </c>
      <c r="AF138" s="906"/>
      <c r="AG138" s="906"/>
      <c r="AH138" s="888">
        <f>ROUND(SUM(+AH135-AH136+AH134),1)</f>
        <v>119.3</v>
      </c>
      <c r="AI138" s="397"/>
      <c r="AJ138" s="1658">
        <f>ROUND(IF(AE138=0,0,AH138/ABS(AE138)),3)</f>
        <v>4.6059999999999999</v>
      </c>
      <c r="AK138" s="736"/>
      <c r="AL138" s="736"/>
    </row>
    <row r="139" spans="1:59" ht="16.5" customHeight="1">
      <c r="A139" s="355"/>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905"/>
      <c r="AB139" s="242"/>
      <c r="AC139" s="242"/>
      <c r="AD139" s="905"/>
      <c r="AE139" s="242"/>
      <c r="AF139" s="242"/>
      <c r="AG139" s="242"/>
      <c r="AH139" s="1042"/>
      <c r="AI139" s="1438"/>
      <c r="AJ139" s="1438"/>
    </row>
    <row r="140" spans="1:59" ht="16.5" customHeight="1">
      <c r="A140" s="459" t="s">
        <v>44</v>
      </c>
      <c r="C140" s="893"/>
      <c r="D140" s="242"/>
      <c r="E140" s="893"/>
      <c r="F140" s="242"/>
      <c r="G140" s="893"/>
      <c r="H140" s="242"/>
      <c r="I140" s="893"/>
      <c r="J140" s="242"/>
      <c r="K140" s="893"/>
      <c r="L140" s="242"/>
      <c r="M140" s="893"/>
      <c r="N140" s="242"/>
      <c r="O140" s="893"/>
      <c r="P140" s="242"/>
      <c r="Q140" s="893"/>
      <c r="R140" s="242"/>
      <c r="S140" s="893"/>
      <c r="T140" s="242"/>
      <c r="U140" s="893"/>
      <c r="V140" s="242"/>
      <c r="W140" s="893"/>
      <c r="X140" s="242"/>
      <c r="Y140" s="893"/>
      <c r="Z140" s="242"/>
      <c r="AA140" s="905"/>
      <c r="AB140" s="893"/>
      <c r="AC140" s="242"/>
      <c r="AD140" s="905"/>
      <c r="AE140" s="893"/>
      <c r="AF140" s="242"/>
      <c r="AG140" s="242"/>
      <c r="AH140" s="1042"/>
      <c r="AI140" s="1438"/>
      <c r="AJ140" s="1438"/>
    </row>
    <row r="141" spans="1:59" ht="16.5" customHeight="1">
      <c r="A141" s="459" t="s">
        <v>51</v>
      </c>
      <c r="C141" s="889"/>
      <c r="D141" s="906"/>
      <c r="E141" s="889"/>
      <c r="F141" s="906"/>
      <c r="G141" s="889"/>
      <c r="H141" s="906"/>
      <c r="I141" s="889"/>
      <c r="J141" s="906"/>
      <c r="K141" s="889"/>
      <c r="L141" s="906"/>
      <c r="M141" s="889"/>
      <c r="N141" s="906"/>
      <c r="O141" s="889"/>
      <c r="P141" s="906"/>
      <c r="Q141" s="889"/>
      <c r="R141" s="906"/>
      <c r="S141" s="889"/>
      <c r="T141" s="906"/>
      <c r="U141" s="889"/>
      <c r="V141" s="906"/>
      <c r="W141" s="889"/>
      <c r="X141" s="906"/>
      <c r="Y141" s="889"/>
      <c r="Z141" s="906"/>
      <c r="AA141" s="907"/>
      <c r="AB141" s="889"/>
      <c r="AC141" s="906"/>
      <c r="AD141" s="907"/>
      <c r="AE141" s="889"/>
      <c r="AF141" s="906"/>
      <c r="AG141" s="906"/>
      <c r="AH141" s="1587"/>
      <c r="AI141" s="397"/>
      <c r="AJ141" s="397"/>
      <c r="AK141" s="736"/>
      <c r="AL141" s="736"/>
      <c r="AM141" s="736"/>
      <c r="AN141" s="736"/>
      <c r="AO141" s="736"/>
      <c r="AP141" s="736"/>
      <c r="AQ141" s="736"/>
      <c r="AR141" s="736"/>
      <c r="AS141" s="736"/>
      <c r="AT141" s="736"/>
      <c r="AU141" s="736"/>
      <c r="AV141" s="736"/>
      <c r="AW141" s="736"/>
      <c r="AX141" s="736"/>
      <c r="AY141" s="736"/>
      <c r="AZ141" s="736"/>
      <c r="BA141" s="736"/>
      <c r="BB141" s="736"/>
      <c r="BC141" s="736"/>
      <c r="BD141" s="736"/>
      <c r="BE141" s="736"/>
      <c r="BF141" s="736"/>
      <c r="BG141" s="736"/>
    </row>
    <row r="142" spans="1:59" ht="16.5" customHeight="1">
      <c r="A142" s="459" t="s">
        <v>52</v>
      </c>
      <c r="C142" s="908">
        <f>ROUND(SUM(C131+C138),1)</f>
        <v>1264.5</v>
      </c>
      <c r="D142" s="906"/>
      <c r="E142" s="908">
        <f>ROUND(SUM(E131+E138),1)</f>
        <v>0</v>
      </c>
      <c r="F142" s="906"/>
      <c r="G142" s="908">
        <f>ROUND(SUM(G131+G138),1)</f>
        <v>0</v>
      </c>
      <c r="H142" s="906"/>
      <c r="I142" s="908">
        <f>ROUND(SUM(I131+I138),1)</f>
        <v>0</v>
      </c>
      <c r="J142" s="906"/>
      <c r="K142" s="908">
        <f>ROUND(SUM(K131+K138),1)</f>
        <v>0</v>
      </c>
      <c r="L142" s="906"/>
      <c r="M142" s="908">
        <f>ROUND(SUM(M131+M138),1)</f>
        <v>0</v>
      </c>
      <c r="N142" s="906"/>
      <c r="O142" s="908">
        <f>ROUND(SUM(O131+O138),1)</f>
        <v>0</v>
      </c>
      <c r="P142" s="906"/>
      <c r="Q142" s="908">
        <f>ROUND(SUM(Q131+Q138),1)</f>
        <v>0</v>
      </c>
      <c r="R142" s="906"/>
      <c r="S142" s="908">
        <f>ROUND(SUM(S131+S138),1)</f>
        <v>0</v>
      </c>
      <c r="T142" s="906"/>
      <c r="U142" s="908">
        <f>ROUND(SUM(U131+U138),1)</f>
        <v>0</v>
      </c>
      <c r="V142" s="906"/>
      <c r="W142" s="908">
        <f>ROUND(SUM(W131+W138),1)</f>
        <v>0</v>
      </c>
      <c r="X142" s="906"/>
      <c r="Y142" s="908">
        <f>ROUND(SUM(Y131+Y138),1)</f>
        <v>0</v>
      </c>
      <c r="Z142" s="906"/>
      <c r="AA142" s="907"/>
      <c r="AB142" s="908">
        <f>ROUND(SUM(AB131+AB138),1)</f>
        <v>1264.5</v>
      </c>
      <c r="AC142" s="906"/>
      <c r="AD142" s="907"/>
      <c r="AE142" s="908">
        <f>AE131+AE138</f>
        <v>411.69999999999993</v>
      </c>
      <c r="AF142" s="906"/>
      <c r="AG142" s="906"/>
      <c r="AH142" s="900">
        <f>ROUND(SUM(AB142-AE142),1)</f>
        <v>852.8</v>
      </c>
      <c r="AI142" s="397"/>
      <c r="AJ142" s="2287">
        <f>ROUND(IF(AE142=0,0,AH142/ABS(AE142)),3)</f>
        <v>2.0710000000000002</v>
      </c>
      <c r="AK142" s="736"/>
      <c r="AL142" s="736"/>
      <c r="AM142" s="736"/>
      <c r="AN142" s="736"/>
      <c r="AO142" s="736"/>
      <c r="AP142" s="736"/>
      <c r="AQ142" s="736"/>
      <c r="AR142" s="736"/>
      <c r="AS142" s="736"/>
      <c r="AT142" s="736"/>
      <c r="AU142" s="736"/>
      <c r="AV142" s="736"/>
      <c r="AW142" s="736"/>
      <c r="AX142" s="736"/>
      <c r="AY142" s="736"/>
      <c r="AZ142" s="736"/>
      <c r="BA142" s="736"/>
      <c r="BB142" s="736"/>
      <c r="BC142" s="736"/>
      <c r="BD142" s="736"/>
      <c r="BE142" s="736"/>
      <c r="BF142" s="736"/>
      <c r="BG142" s="736"/>
    </row>
    <row r="143" spans="1:59" ht="16.5" customHeight="1">
      <c r="A143" s="397"/>
      <c r="C143" s="874"/>
      <c r="E143" s="874"/>
      <c r="G143" s="874"/>
      <c r="I143" s="874"/>
      <c r="K143" s="874"/>
      <c r="M143" s="874"/>
      <c r="O143" s="874"/>
      <c r="Q143" s="874"/>
      <c r="S143" s="874"/>
      <c r="U143" s="874"/>
      <c r="W143" s="874"/>
      <c r="Y143" s="874"/>
      <c r="AA143" s="909"/>
      <c r="AB143" s="874"/>
      <c r="AD143" s="909"/>
      <c r="AE143" s="874"/>
      <c r="AH143" s="1438"/>
      <c r="AI143" s="1438"/>
      <c r="AJ143" s="1438"/>
    </row>
    <row r="144" spans="1:59" ht="16.5" customHeight="1" thickBot="1">
      <c r="A144" s="910" t="s">
        <v>143</v>
      </c>
      <c r="C144" s="911">
        <f>ROUND(SUM(C16+C142),1)</f>
        <v>14013.5</v>
      </c>
      <c r="D144" s="454"/>
      <c r="E144" s="911">
        <f>ROUND(SUM(E16+E142),1)</f>
        <v>0</v>
      </c>
      <c r="F144" s="454"/>
      <c r="G144" s="911">
        <f>ROUND(SUM(G16+G142),1)</f>
        <v>0</v>
      </c>
      <c r="H144" s="454"/>
      <c r="I144" s="911">
        <f>ROUND(SUM(I16+I142),1)</f>
        <v>0</v>
      </c>
      <c r="J144" s="912"/>
      <c r="K144" s="911">
        <f>ROUND(SUM(K16+K142),1)</f>
        <v>0</v>
      </c>
      <c r="L144" s="912"/>
      <c r="M144" s="911">
        <f>ROUND(SUM(M16+M142),1)</f>
        <v>0</v>
      </c>
      <c r="N144" s="912"/>
      <c r="O144" s="911">
        <f>ROUND(SUM(O16+O142),1)</f>
        <v>0</v>
      </c>
      <c r="P144" s="912"/>
      <c r="Q144" s="911">
        <f>ROUND(SUM(Q16+Q142),1)</f>
        <v>0</v>
      </c>
      <c r="R144" s="912"/>
      <c r="S144" s="911">
        <f>ROUND(SUM(S16+S142),1)</f>
        <v>0</v>
      </c>
      <c r="T144" s="912"/>
      <c r="U144" s="911">
        <f>ROUND(SUM(U16+U142),1)</f>
        <v>0</v>
      </c>
      <c r="V144" s="912"/>
      <c r="W144" s="911">
        <f>ROUND(SUM(W16+W142),1)</f>
        <v>0</v>
      </c>
      <c r="X144" s="912"/>
      <c r="Y144" s="911">
        <f>ROUND(SUM(Y16+Y142),1)</f>
        <v>0</v>
      </c>
      <c r="Z144" s="454"/>
      <c r="AA144" s="913"/>
      <c r="AB144" s="911">
        <f>ROUND(SUM(AB16+AB142),1)</f>
        <v>14013.5</v>
      </c>
      <c r="AC144" s="454"/>
      <c r="AD144" s="913"/>
      <c r="AE144" s="911">
        <f>AE16+AE142</f>
        <v>11516.4</v>
      </c>
      <c r="AF144" s="454"/>
      <c r="AG144" s="454"/>
      <c r="AH144" s="911">
        <f>ROUND(SUM(AB144-AE144),1)</f>
        <v>2497.1</v>
      </c>
      <c r="AI144" s="397"/>
      <c r="AJ144" s="122">
        <f>ROUND(IF(AE144=0,0,AH144/ABS(AE144)),3)</f>
        <v>0.217</v>
      </c>
      <c r="AK144" s="736"/>
    </row>
    <row r="145" spans="1:36" ht="16.5" customHeight="1" thickTop="1">
      <c r="A145" s="914"/>
      <c r="C145" s="404"/>
      <c r="AH145" s="1438"/>
      <c r="AI145" s="1438"/>
      <c r="AJ145" s="1438"/>
    </row>
    <row r="146" spans="1:36" ht="16.5" customHeight="1">
      <c r="A146" s="641" t="s">
        <v>144</v>
      </c>
      <c r="AH146" s="1438"/>
      <c r="AI146" s="1438"/>
      <c r="AJ146" s="1438"/>
    </row>
    <row r="147" spans="1:36" ht="16.5" customHeight="1">
      <c r="A147" s="217"/>
      <c r="AH147" s="1438"/>
      <c r="AI147" s="1438"/>
      <c r="AJ147" s="1438"/>
    </row>
    <row r="148" spans="1:36" ht="16.5" customHeight="1">
      <c r="A148" s="217"/>
      <c r="AH148" s="1438"/>
      <c r="AI148" s="1438"/>
      <c r="AJ148" s="1438"/>
    </row>
    <row r="149" spans="1:36" ht="16.5" customHeight="1">
      <c r="A149" s="217"/>
      <c r="AH149" s="1438"/>
      <c r="AI149" s="1438"/>
      <c r="AJ149" s="1438"/>
    </row>
    <row r="150" spans="1:36" ht="16.5" customHeight="1">
      <c r="AH150" s="1438"/>
      <c r="AI150" s="1438"/>
      <c r="AJ150" s="1438"/>
    </row>
    <row r="151" spans="1:36" ht="16.5" customHeight="1">
      <c r="AH151" s="1438"/>
      <c r="AI151" s="1438"/>
      <c r="AJ151" s="1438"/>
    </row>
    <row r="152" spans="1:36" ht="16.5" customHeight="1">
      <c r="AH152" s="1438"/>
      <c r="AI152" s="1438"/>
      <c r="AJ152" s="1438"/>
    </row>
    <row r="153" spans="1:36" ht="16.5" customHeight="1">
      <c r="AH153" s="1438"/>
      <c r="AI153" s="1438"/>
      <c r="AJ153" s="1438"/>
    </row>
    <row r="154" spans="1:36" ht="16.5" customHeight="1">
      <c r="AH154" s="1438"/>
      <c r="AI154" s="1438"/>
      <c r="AJ154" s="1438"/>
    </row>
    <row r="155" spans="1:36" ht="16.5" customHeight="1">
      <c r="AH155" s="1438"/>
      <c r="AI155" s="1438"/>
      <c r="AJ155" s="1438"/>
    </row>
    <row r="156" spans="1:36" ht="16.5" customHeight="1">
      <c r="AH156" s="1438"/>
      <c r="AI156" s="1438"/>
      <c r="AJ156" s="1438"/>
    </row>
    <row r="157" spans="1:36" ht="16.5" customHeight="1">
      <c r="AH157" s="1438"/>
      <c r="AI157" s="1438"/>
      <c r="AJ157" s="1438"/>
    </row>
    <row r="158" spans="1:36" ht="16.5" customHeight="1">
      <c r="AH158" s="1438"/>
      <c r="AI158" s="1438"/>
      <c r="AJ158" s="1438"/>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38" firstPageNumber="16" fitToHeight="2" orientation="landscape" useFirstPageNumber="1" r:id="rId2"/>
  <headerFooter scaleWithDoc="0" alignWithMargins="0">
    <oddFooter>&amp;C&amp;8&amp;P</oddFooter>
  </headerFooter>
  <rowBreaks count="1" manualBreakCount="1">
    <brk id="89" max="35" man="1"/>
  </rowBreaks>
  <ignoredErrors>
    <ignoredError sqref="AJ72:AJ82 AJ36:AJ69 AJ21:AJ34 AJ71 AJ135:AJ144 AJ85:AJ90 AJ92:AJ133" unlockedFormula="1"/>
    <ignoredError sqref="AH24:AH26 AH35:AI35 AJ91" formula="1"/>
    <ignoredError sqref="AJ35" formula="1" unlockedFormula="1"/>
    <ignoredError sqref="C13 AB14:AE14 U13" numberStoredAsText="1"/>
    <ignoredError sqref="M138" formulaRange="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1"/>
  <sheetViews>
    <sheetView showGridLines="0" zoomScale="70" zoomScaleNormal="55" workbookViewId="0"/>
  </sheetViews>
  <sheetFormatPr defaultColWidth="8.88671875" defaultRowHeight="16.5" customHeight="1"/>
  <cols>
    <col min="1" max="1" width="43" style="405" customWidth="1"/>
    <col min="2" max="2" width="1.6640625" style="405" customWidth="1"/>
    <col min="3" max="3" width="13.21875" style="405" bestFit="1" customWidth="1"/>
    <col min="4" max="4" width="1.6640625" style="405" customWidth="1"/>
    <col min="5" max="5" width="13.21875" style="405" bestFit="1" customWidth="1"/>
    <col min="6" max="6" width="1.6640625" style="405" customWidth="1"/>
    <col min="7" max="7" width="13.5546875" style="405" customWidth="1"/>
    <col min="8" max="8" width="1.6640625" style="405" customWidth="1"/>
    <col min="9" max="9" width="13.6640625" style="405" customWidth="1"/>
    <col min="10" max="10" width="1.6640625" style="405" customWidth="1"/>
    <col min="11" max="11" width="14.5546875" style="405" customWidth="1"/>
    <col min="12" max="12" width="1.6640625" style="405" customWidth="1"/>
    <col min="13" max="13" width="13.33203125" style="405" customWidth="1"/>
    <col min="14" max="14" width="1.6640625" style="405" customWidth="1"/>
    <col min="15" max="15" width="14.21875" style="405" customWidth="1"/>
    <col min="16" max="16" width="1.6640625" style="405" customWidth="1"/>
    <col min="17" max="17" width="13.21875" style="405" customWidth="1"/>
    <col min="18" max="18" width="1.6640625" style="405" customWidth="1"/>
    <col min="19" max="19" width="13.88671875" style="405" customWidth="1"/>
    <col min="20" max="20" width="1.6640625" style="405" customWidth="1"/>
    <col min="21" max="21" width="13" style="405" customWidth="1"/>
    <col min="22" max="22" width="1.6640625" style="405" customWidth="1"/>
    <col min="23" max="23" width="13.21875" style="405" customWidth="1"/>
    <col min="24" max="24" width="1.6640625" style="405" customWidth="1"/>
    <col min="25" max="25" width="13.21875" style="405" bestFit="1" customWidth="1"/>
    <col min="26" max="27" width="1.6640625" style="405" customWidth="1"/>
    <col min="28" max="28" width="15" style="405" customWidth="1"/>
    <col min="29" max="30" width="1.6640625" style="405" customWidth="1"/>
    <col min="31" max="31" width="12.33203125" style="405" customWidth="1"/>
    <col min="32" max="32" width="1.33203125" style="405" customWidth="1"/>
    <col min="33" max="33" width="1.6640625" style="405" customWidth="1"/>
    <col min="34" max="34" width="12.77734375" style="405" bestFit="1" customWidth="1"/>
    <col min="35" max="35" width="1" style="405" customWidth="1"/>
    <col min="36" max="36" width="12.33203125" style="405" bestFit="1" customWidth="1"/>
    <col min="37" max="16384" width="8.88671875" style="405"/>
  </cols>
  <sheetData>
    <row r="1" spans="1:37" ht="15">
      <c r="A1" s="1602" t="s">
        <v>1064</v>
      </c>
    </row>
    <row r="2" spans="1:37" ht="15">
      <c r="A2" s="1454"/>
    </row>
    <row r="3" spans="1:37" ht="23.25">
      <c r="A3" s="413" t="s">
        <v>0</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I3" s="416"/>
    </row>
    <row r="4" spans="1:37" ht="23.25">
      <c r="A4" s="413" t="s">
        <v>1282</v>
      </c>
      <c r="B4" s="416"/>
      <c r="C4" s="416"/>
      <c r="D4" s="416"/>
      <c r="E4" s="416"/>
      <c r="F4" s="416"/>
      <c r="G4" s="416"/>
      <c r="H4" s="416"/>
      <c r="I4" s="416" t="s">
        <v>15</v>
      </c>
      <c r="J4" s="416"/>
      <c r="K4" s="416"/>
      <c r="L4" s="416"/>
      <c r="M4" s="416"/>
      <c r="N4" s="416"/>
      <c r="O4" s="416"/>
      <c r="P4" s="416"/>
      <c r="Q4" s="416"/>
      <c r="R4" s="416"/>
      <c r="S4" s="416"/>
      <c r="T4" s="416"/>
      <c r="U4" s="416"/>
      <c r="V4" s="416"/>
      <c r="W4" s="416"/>
      <c r="X4" s="416"/>
      <c r="Y4" s="416" t="s">
        <v>15</v>
      </c>
      <c r="Z4" s="416"/>
      <c r="AA4" s="416"/>
      <c r="AB4" s="416"/>
      <c r="AC4" s="416"/>
      <c r="AD4" s="416"/>
      <c r="AE4" s="416"/>
      <c r="AF4" s="416"/>
      <c r="AG4" s="416"/>
      <c r="AI4" s="416"/>
    </row>
    <row r="5" spans="1:37" ht="23.25">
      <c r="A5" s="415" t="s">
        <v>1283</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C5" s="3747"/>
      <c r="AD5" s="3751"/>
      <c r="AE5" s="3751"/>
      <c r="AF5" s="3751"/>
      <c r="AG5" s="3751"/>
      <c r="AH5" s="3751"/>
      <c r="AI5" s="3751"/>
      <c r="AJ5" s="3751"/>
    </row>
    <row r="6" spans="1:37" ht="23.25">
      <c r="A6" s="415" t="str">
        <f>'Cashflow Governmental'!A6</f>
        <v>FISCAL YEAR 2018-2019</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I6" s="416"/>
    </row>
    <row r="7" spans="1:37" ht="23.25">
      <c r="A7" s="413" t="s">
        <v>957</v>
      </c>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I7" s="416"/>
    </row>
    <row r="8" spans="1:37" ht="15">
      <c r="A8" s="416"/>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I8" s="416"/>
    </row>
    <row r="9" spans="1:37" ht="15">
      <c r="A9" s="416"/>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I9" s="416"/>
    </row>
    <row r="10" spans="1:37" ht="15">
      <c r="A10" s="416"/>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I10" s="416"/>
    </row>
    <row r="11" spans="1:37" ht="15">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C11" s="416"/>
      <c r="AD11" s="416"/>
      <c r="AE11" s="416"/>
      <c r="AF11" s="416"/>
      <c r="AG11" s="416"/>
      <c r="AI11" s="416"/>
    </row>
    <row r="12" spans="1:37" ht="15.75">
      <c r="A12" s="416"/>
      <c r="B12" s="416"/>
      <c r="C12" s="2504"/>
      <c r="D12" s="2504"/>
      <c r="E12" s="2504"/>
      <c r="F12" s="2504"/>
      <c r="G12" s="2504"/>
      <c r="H12" s="2504"/>
      <c r="I12" s="2504"/>
      <c r="J12" s="2504"/>
      <c r="K12" s="2504"/>
      <c r="L12" s="2504"/>
      <c r="M12" s="2504"/>
      <c r="N12" s="2504"/>
      <c r="O12" s="2504"/>
      <c r="P12" s="2504"/>
      <c r="Q12" s="2504"/>
      <c r="R12" s="2504"/>
      <c r="S12" s="2504"/>
      <c r="T12" s="2504"/>
      <c r="U12" s="2504"/>
      <c r="V12" s="2504"/>
      <c r="W12" s="2504"/>
      <c r="X12" s="2504"/>
      <c r="Z12" s="2504"/>
      <c r="AA12" s="873"/>
      <c r="AB12" s="3752" t="str">
        <f>'Cashflow Governmental'!AB12:AJ12</f>
        <v>1 Month Ended April 30</v>
      </c>
      <c r="AC12" s="3752"/>
      <c r="AD12" s="3752"/>
      <c r="AE12" s="3752"/>
      <c r="AF12" s="3752"/>
      <c r="AG12" s="3752"/>
      <c r="AH12" s="3752"/>
      <c r="AI12" s="3752"/>
      <c r="AJ12" s="3752"/>
    </row>
    <row r="13" spans="1:37" ht="15.75">
      <c r="A13" s="416"/>
      <c r="B13" s="416"/>
      <c r="C13" s="2574" t="str">
        <f>'Cashflow Governmental'!C13</f>
        <v>2018</v>
      </c>
      <c r="D13" s="871"/>
      <c r="E13" s="871"/>
      <c r="F13" s="871"/>
      <c r="G13" s="871"/>
      <c r="H13" s="871"/>
      <c r="I13" s="871"/>
      <c r="J13" s="871"/>
      <c r="K13" s="871"/>
      <c r="L13" s="871"/>
      <c r="M13" s="871"/>
      <c r="N13" s="871"/>
      <c r="O13" s="871"/>
      <c r="P13" s="871"/>
      <c r="Q13" s="871"/>
      <c r="R13" s="871"/>
      <c r="S13" s="871"/>
      <c r="T13" s="871"/>
      <c r="U13" s="2574" t="str">
        <f>'Cashflow Governmental'!U13</f>
        <v>2019</v>
      </c>
      <c r="V13" s="871"/>
      <c r="W13" s="871"/>
      <c r="X13" s="871"/>
      <c r="Y13" s="871"/>
      <c r="Z13" s="871"/>
      <c r="AA13" s="871"/>
      <c r="AB13" s="871"/>
      <c r="AC13" s="1289"/>
      <c r="AD13" s="1289"/>
      <c r="AE13" s="1289"/>
      <c r="AF13" s="871"/>
      <c r="AG13" s="871"/>
      <c r="AH13" s="1290" t="s">
        <v>8</v>
      </c>
      <c r="AI13" s="1288"/>
      <c r="AJ13" s="1290" t="s">
        <v>9</v>
      </c>
    </row>
    <row r="14" spans="1:37" ht="15.75">
      <c r="A14" s="416"/>
      <c r="B14" s="416"/>
      <c r="C14" s="1290" t="s">
        <v>126</v>
      </c>
      <c r="D14" s="871"/>
      <c r="E14" s="1290" t="s">
        <v>127</v>
      </c>
      <c r="F14" s="871"/>
      <c r="G14" s="1290" t="s">
        <v>128</v>
      </c>
      <c r="H14" s="871"/>
      <c r="I14" s="1290" t="s">
        <v>129</v>
      </c>
      <c r="J14" s="871"/>
      <c r="K14" s="1290" t="s">
        <v>130</v>
      </c>
      <c r="L14" s="871"/>
      <c r="M14" s="1290" t="s">
        <v>131</v>
      </c>
      <c r="N14" s="871"/>
      <c r="O14" s="1290" t="s">
        <v>132</v>
      </c>
      <c r="P14" s="871"/>
      <c r="Q14" s="1292" t="s">
        <v>133</v>
      </c>
      <c r="R14" s="871"/>
      <c r="S14" s="1290" t="s">
        <v>134</v>
      </c>
      <c r="T14" s="871"/>
      <c r="U14" s="1290" t="s">
        <v>135</v>
      </c>
      <c r="V14" s="871"/>
      <c r="W14" s="1290" t="s">
        <v>136</v>
      </c>
      <c r="X14" s="871"/>
      <c r="Y14" s="1290" t="s">
        <v>137</v>
      </c>
      <c r="Z14" s="871"/>
      <c r="AA14" s="871"/>
      <c r="AB14" s="1291" t="str">
        <f>'Cashflow Governmental'!AB14</f>
        <v>2018</v>
      </c>
      <c r="AC14" s="871"/>
      <c r="AD14" s="871"/>
      <c r="AE14" s="1291" t="str">
        <f>'Cashflow Governmental'!AE14</f>
        <v>2017</v>
      </c>
      <c r="AF14" s="1289"/>
      <c r="AG14" s="1289"/>
      <c r="AH14" s="1625" t="s">
        <v>12</v>
      </c>
      <c r="AI14" s="1288"/>
      <c r="AJ14" s="1625" t="s">
        <v>13</v>
      </c>
    </row>
    <row r="15" spans="1:37" ht="5.25" customHeight="1">
      <c r="A15" s="416"/>
      <c r="B15" s="416"/>
      <c r="C15" s="874"/>
      <c r="D15" s="416"/>
      <c r="E15" s="874"/>
      <c r="F15" s="416"/>
      <c r="G15" s="874"/>
      <c r="H15" s="416"/>
      <c r="I15" s="874"/>
      <c r="J15" s="416"/>
      <c r="K15" s="874"/>
      <c r="L15" s="416"/>
      <c r="M15" s="874"/>
      <c r="N15" s="416"/>
      <c r="O15" s="874" t="s">
        <v>15</v>
      </c>
      <c r="P15" s="416"/>
      <c r="Q15" s="1800"/>
      <c r="R15" s="416"/>
      <c r="S15" s="874"/>
      <c r="T15" s="416"/>
      <c r="U15" s="874" t="s">
        <v>15</v>
      </c>
      <c r="V15" s="416"/>
      <c r="W15" s="874"/>
      <c r="X15" s="416"/>
      <c r="Y15" s="874"/>
      <c r="Z15" s="416"/>
      <c r="AA15" s="416"/>
      <c r="AB15" s="874"/>
      <c r="AC15" s="416"/>
      <c r="AD15" s="416"/>
      <c r="AE15" s="874"/>
      <c r="AF15" s="1799"/>
      <c r="AG15" s="1799"/>
      <c r="AI15" s="416"/>
    </row>
    <row r="16" spans="1:37" ht="15.75">
      <c r="A16" s="872" t="s">
        <v>138</v>
      </c>
      <c r="B16" s="416"/>
      <c r="C16" s="2852">
        <f>'Exhibit F'!D14+'Exh D Special Revenue State Fed'!G41+'Exhibit H'!B12</f>
        <v>13606.6</v>
      </c>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1626"/>
      <c r="AB16" s="875">
        <f>C16</f>
        <v>13606.6</v>
      </c>
      <c r="AC16" s="875"/>
      <c r="AD16" s="877"/>
      <c r="AE16" s="875">
        <f>'Exhibit F'!AF14+'Exhibit G state'!AG13+'Exhibit H'!AD12</f>
        <v>11625.300000000001</v>
      </c>
      <c r="AF16" s="1800"/>
      <c r="AG16" s="1800"/>
      <c r="AH16" s="875">
        <f>ROUND(SUM(AB16-AE16),1)</f>
        <v>1981.3</v>
      </c>
      <c r="AI16" s="871"/>
      <c r="AJ16" s="489">
        <f>ROUND(SUM(AH16/AE16),3)</f>
        <v>0.17</v>
      </c>
      <c r="AK16" s="736"/>
    </row>
    <row r="17" spans="1:36" ht="15.75">
      <c r="A17" s="416"/>
      <c r="B17" s="416"/>
      <c r="C17" s="416" t="s">
        <v>15</v>
      </c>
      <c r="D17" s="416"/>
      <c r="E17" s="878"/>
      <c r="F17" s="416"/>
      <c r="G17" s="878"/>
      <c r="H17" s="416"/>
      <c r="I17" s="878"/>
      <c r="J17" s="416"/>
      <c r="K17" s="878"/>
      <c r="L17" s="416"/>
      <c r="M17" s="878"/>
      <c r="N17" s="416"/>
      <c r="O17" s="878"/>
      <c r="P17" s="416"/>
      <c r="Q17" s="878"/>
      <c r="R17" s="416"/>
      <c r="S17" s="878"/>
      <c r="T17" s="416"/>
      <c r="U17" s="878"/>
      <c r="V17" s="416"/>
      <c r="W17" s="875"/>
      <c r="X17" s="416"/>
      <c r="Y17" s="878"/>
      <c r="Z17" s="416"/>
      <c r="AA17" s="1627"/>
      <c r="AB17" s="416" t="s">
        <v>15</v>
      </c>
      <c r="AC17" s="416"/>
      <c r="AD17" s="880"/>
      <c r="AE17" s="416" t="s">
        <v>15</v>
      </c>
      <c r="AF17" s="1799"/>
      <c r="AG17" s="1799"/>
      <c r="AH17" s="1438"/>
      <c r="AI17" s="416"/>
      <c r="AJ17" s="1438"/>
    </row>
    <row r="18" spans="1:36" ht="15.75">
      <c r="A18" s="397" t="s">
        <v>14</v>
      </c>
      <c r="B18" s="416"/>
      <c r="C18" s="416"/>
      <c r="D18" s="416"/>
      <c r="E18" s="878"/>
      <c r="F18" s="416"/>
      <c r="G18" s="878"/>
      <c r="H18" s="416"/>
      <c r="I18" s="878"/>
      <c r="J18" s="416"/>
      <c r="K18" s="878"/>
      <c r="L18" s="416"/>
      <c r="M18" s="878"/>
      <c r="N18" s="416"/>
      <c r="O18" s="878"/>
      <c r="P18" s="416"/>
      <c r="Q18" s="878"/>
      <c r="R18" s="416"/>
      <c r="S18" s="878"/>
      <c r="T18" s="416"/>
      <c r="U18" s="878"/>
      <c r="V18" s="416"/>
      <c r="W18" s="878"/>
      <c r="X18" s="416"/>
      <c r="Y18" s="878"/>
      <c r="Z18" s="416"/>
      <c r="AA18" s="1627"/>
      <c r="AB18" s="416"/>
      <c r="AC18" s="416"/>
      <c r="AD18" s="880"/>
      <c r="AE18" s="416"/>
      <c r="AF18" s="1799"/>
      <c r="AG18" s="1799"/>
      <c r="AH18" s="1438"/>
      <c r="AI18" s="416"/>
      <c r="AJ18" s="1438"/>
    </row>
    <row r="19" spans="1:36" ht="15.75">
      <c r="A19" s="467" t="s">
        <v>1193</v>
      </c>
      <c r="B19" s="416"/>
      <c r="C19" s="416"/>
      <c r="D19" s="416"/>
      <c r="E19" s="878"/>
      <c r="F19" s="416"/>
      <c r="G19" s="878"/>
      <c r="H19" s="416"/>
      <c r="I19" s="878"/>
      <c r="J19" s="416"/>
      <c r="K19" s="878"/>
      <c r="L19" s="416"/>
      <c r="M19" s="878"/>
      <c r="N19" s="416"/>
      <c r="O19" s="878"/>
      <c r="P19" s="416"/>
      <c r="Q19" s="878"/>
      <c r="R19" s="416"/>
      <c r="S19" s="878"/>
      <c r="T19" s="416"/>
      <c r="U19" s="878"/>
      <c r="V19" s="416"/>
      <c r="W19" s="878"/>
      <c r="X19" s="416"/>
      <c r="Y19" s="878"/>
      <c r="Z19" s="416"/>
      <c r="AA19" s="879"/>
      <c r="AB19" s="416"/>
      <c r="AC19" s="416"/>
      <c r="AD19" s="880"/>
      <c r="AE19" s="416"/>
      <c r="AF19" s="1799"/>
      <c r="AG19" s="1799"/>
      <c r="AH19" s="1438"/>
      <c r="AI19" s="416"/>
      <c r="AJ19" s="1438"/>
    </row>
    <row r="20" spans="1:36" ht="15">
      <c r="A20" s="1768" t="s">
        <v>1264</v>
      </c>
      <c r="B20" s="416"/>
      <c r="C20" s="416"/>
      <c r="D20" s="416"/>
      <c r="E20" s="878"/>
      <c r="F20" s="416"/>
      <c r="G20" s="878"/>
      <c r="H20" s="416"/>
      <c r="I20" s="878"/>
      <c r="J20" s="416"/>
      <c r="K20" s="878"/>
      <c r="L20" s="416"/>
      <c r="M20" s="878"/>
      <c r="N20" s="416"/>
      <c r="O20" s="878"/>
      <c r="P20" s="416"/>
      <c r="Q20" s="878"/>
      <c r="R20" s="416"/>
      <c r="S20" s="878"/>
      <c r="T20" s="416"/>
      <c r="U20" s="878"/>
      <c r="V20" s="416"/>
      <c r="W20" s="878"/>
      <c r="X20" s="416"/>
      <c r="Y20" s="878"/>
      <c r="Z20" s="416"/>
      <c r="AA20" s="1627"/>
      <c r="AB20" s="416"/>
      <c r="AC20" s="416"/>
      <c r="AD20" s="880"/>
      <c r="AE20" s="416"/>
      <c r="AF20" s="1799"/>
      <c r="AG20" s="1799"/>
      <c r="AH20" s="1438"/>
      <c r="AI20" s="416"/>
      <c r="AJ20" s="1438"/>
    </row>
    <row r="21" spans="1:36" ht="15">
      <c r="A21" s="1132" t="s">
        <v>1199</v>
      </c>
      <c r="B21" s="416"/>
      <c r="C21" s="881">
        <f>+'Exhibit F'!D19</f>
        <v>2930.1</v>
      </c>
      <c r="D21" s="881"/>
      <c r="E21" s="881"/>
      <c r="F21" s="881"/>
      <c r="G21" s="881"/>
      <c r="H21" s="881"/>
      <c r="I21" s="881"/>
      <c r="J21" s="881"/>
      <c r="K21" s="881"/>
      <c r="L21" s="881"/>
      <c r="M21" s="881"/>
      <c r="N21" s="881"/>
      <c r="O21" s="881"/>
      <c r="P21" s="416"/>
      <c r="Q21" s="881"/>
      <c r="R21" s="416"/>
      <c r="S21" s="881"/>
      <c r="T21" s="416"/>
      <c r="U21" s="881"/>
      <c r="V21" s="416"/>
      <c r="W21" s="881"/>
      <c r="X21" s="416"/>
      <c r="Y21" s="881"/>
      <c r="Z21" s="416"/>
      <c r="AA21" s="1627"/>
      <c r="AB21" s="881">
        <f t="shared" ref="AB21:AB29" si="0">ROUND(SUM(C21:Y21),1)</f>
        <v>2930.1</v>
      </c>
      <c r="AC21" s="416"/>
      <c r="AD21" s="880"/>
      <c r="AE21" s="881">
        <f>+'Exhibit F'!AF19</f>
        <v>2755.8</v>
      </c>
      <c r="AF21" s="1799"/>
      <c r="AG21" s="1799"/>
      <c r="AH21" s="1042">
        <f>ROUND(SUM(+AB21-AE21),1)</f>
        <v>174.3</v>
      </c>
      <c r="AI21" s="1781"/>
      <c r="AJ21" s="1629">
        <f t="shared" ref="AJ21:AJ26" si="1">ROUND(SUM(+AH21/ABS(AE21)),3)</f>
        <v>6.3E-2</v>
      </c>
    </row>
    <row r="22" spans="1:36" ht="15">
      <c r="A22" s="1132" t="s">
        <v>1200</v>
      </c>
      <c r="B22" s="416"/>
      <c r="C22" s="881">
        <f>+'Exhibit F'!D20</f>
        <v>4356</v>
      </c>
      <c r="D22" s="881"/>
      <c r="E22" s="881"/>
      <c r="F22" s="881"/>
      <c r="G22" s="881"/>
      <c r="H22" s="881"/>
      <c r="I22" s="881"/>
      <c r="J22" s="881"/>
      <c r="K22" s="881"/>
      <c r="L22" s="881"/>
      <c r="M22" s="881"/>
      <c r="N22" s="881"/>
      <c r="O22" s="881"/>
      <c r="P22" s="416"/>
      <c r="Q22" s="881"/>
      <c r="R22" s="416"/>
      <c r="S22" s="881"/>
      <c r="T22" s="416"/>
      <c r="U22" s="881"/>
      <c r="V22" s="416"/>
      <c r="W22" s="881"/>
      <c r="X22" s="416"/>
      <c r="Y22" s="881"/>
      <c r="Z22" s="416"/>
      <c r="AA22" s="1627"/>
      <c r="AB22" s="881">
        <f t="shared" si="0"/>
        <v>4356</v>
      </c>
      <c r="AC22" s="416"/>
      <c r="AD22" s="880"/>
      <c r="AE22" s="881">
        <f>+'Exhibit F'!AF20</f>
        <v>4168.2</v>
      </c>
      <c r="AF22" s="1799"/>
      <c r="AG22" s="1799"/>
      <c r="AH22" s="1042">
        <f t="shared" ref="AH22:AH28" si="2">ROUND(SUM(+AB22-AE22),1)</f>
        <v>187.8</v>
      </c>
      <c r="AI22" s="1781"/>
      <c r="AJ22" s="1629">
        <f t="shared" si="1"/>
        <v>4.4999999999999998E-2</v>
      </c>
    </row>
    <row r="23" spans="1:36" ht="15">
      <c r="A23" s="1132" t="s">
        <v>1201</v>
      </c>
      <c r="B23" s="416"/>
      <c r="C23" s="881">
        <f>+'Exhibit F'!D21</f>
        <v>1639.5</v>
      </c>
      <c r="D23" s="881"/>
      <c r="E23" s="881"/>
      <c r="F23" s="881"/>
      <c r="G23" s="881"/>
      <c r="H23" s="881"/>
      <c r="I23" s="881"/>
      <c r="J23" s="881"/>
      <c r="K23" s="881"/>
      <c r="L23" s="881"/>
      <c r="M23" s="881"/>
      <c r="N23" s="881"/>
      <c r="O23" s="881"/>
      <c r="P23" s="416"/>
      <c r="Q23" s="881"/>
      <c r="R23" s="416"/>
      <c r="S23" s="881"/>
      <c r="T23" s="416"/>
      <c r="U23" s="881"/>
      <c r="V23" s="416"/>
      <c r="W23" s="881"/>
      <c r="X23" s="416"/>
      <c r="Y23" s="881"/>
      <c r="Z23" s="416"/>
      <c r="AA23" s="1627"/>
      <c r="AB23" s="881">
        <f t="shared" si="0"/>
        <v>1639.5</v>
      </c>
      <c r="AC23" s="416"/>
      <c r="AD23" s="880"/>
      <c r="AE23" s="881">
        <f>+'Exhibit F'!AF21</f>
        <v>1572.8</v>
      </c>
      <c r="AF23" s="1799"/>
      <c r="AG23" s="1799"/>
      <c r="AH23" s="1042">
        <f t="shared" si="2"/>
        <v>66.7</v>
      </c>
      <c r="AI23" s="1781"/>
      <c r="AJ23" s="1629">
        <f t="shared" si="1"/>
        <v>4.2000000000000003E-2</v>
      </c>
    </row>
    <row r="24" spans="1:36" ht="15">
      <c r="A24" s="1802" t="s">
        <v>1202</v>
      </c>
      <c r="B24" s="416"/>
      <c r="C24" s="881">
        <f>+'Exhibit F'!D22</f>
        <v>-279.89999999999998</v>
      </c>
      <c r="D24" s="881"/>
      <c r="E24" s="881"/>
      <c r="F24" s="881"/>
      <c r="G24" s="881"/>
      <c r="H24" s="881"/>
      <c r="I24" s="881"/>
      <c r="J24" s="881"/>
      <c r="K24" s="881"/>
      <c r="L24" s="881"/>
      <c r="M24" s="881"/>
      <c r="N24" s="881"/>
      <c r="O24" s="881"/>
      <c r="P24" s="416"/>
      <c r="Q24" s="881"/>
      <c r="R24" s="416"/>
      <c r="S24" s="881"/>
      <c r="T24" s="416"/>
      <c r="U24" s="881"/>
      <c r="V24" s="416"/>
      <c r="W24" s="881"/>
      <c r="X24" s="416"/>
      <c r="Y24" s="881"/>
      <c r="Z24" s="416"/>
      <c r="AA24" s="1627"/>
      <c r="AB24" s="881">
        <f t="shared" si="0"/>
        <v>-279.89999999999998</v>
      </c>
      <c r="AC24" s="416"/>
      <c r="AD24" s="880"/>
      <c r="AE24" s="881">
        <f>+'Exhibit F'!AF22</f>
        <v>-201.5</v>
      </c>
      <c r="AF24" s="1799"/>
      <c r="AG24" s="1799"/>
      <c r="AH24" s="1042">
        <f>-ROUND(SUM(+AB24-AE24),1)</f>
        <v>78.400000000000006</v>
      </c>
      <c r="AI24" s="1781"/>
      <c r="AJ24" s="1629">
        <f t="shared" si="1"/>
        <v>0.38900000000000001</v>
      </c>
    </row>
    <row r="25" spans="1:36" ht="15">
      <c r="A25" s="1802" t="s">
        <v>1203</v>
      </c>
      <c r="B25" s="416"/>
      <c r="C25" s="881">
        <f>+'Exhibit F'!D23</f>
        <v>132.5</v>
      </c>
      <c r="D25" s="881"/>
      <c r="E25" s="881"/>
      <c r="F25" s="881"/>
      <c r="G25" s="881"/>
      <c r="H25" s="881"/>
      <c r="I25" s="881"/>
      <c r="J25" s="881"/>
      <c r="K25" s="881"/>
      <c r="L25" s="881"/>
      <c r="M25" s="881"/>
      <c r="N25" s="881"/>
      <c r="O25" s="881"/>
      <c r="P25" s="416"/>
      <c r="Q25" s="881"/>
      <c r="R25" s="416"/>
      <c r="S25" s="881"/>
      <c r="T25" s="416"/>
      <c r="U25" s="881"/>
      <c r="V25" s="416"/>
      <c r="W25" s="881"/>
      <c r="X25" s="416"/>
      <c r="Y25" s="881"/>
      <c r="Z25" s="416"/>
      <c r="AA25" s="1627"/>
      <c r="AB25" s="881">
        <f t="shared" si="0"/>
        <v>132.5</v>
      </c>
      <c r="AC25" s="416"/>
      <c r="AD25" s="880"/>
      <c r="AE25" s="881">
        <f>+'Exhibit F'!AF23</f>
        <v>154</v>
      </c>
      <c r="AF25" s="1799"/>
      <c r="AG25" s="1799"/>
      <c r="AH25" s="1042">
        <f t="shared" si="2"/>
        <v>-21.5</v>
      </c>
      <c r="AI25" s="1781"/>
      <c r="AJ25" s="1629">
        <f t="shared" si="1"/>
        <v>-0.14000000000000001</v>
      </c>
    </row>
    <row r="26" spans="1:36" ht="15.75">
      <c r="A26" s="1133" t="s">
        <v>1204</v>
      </c>
      <c r="B26" s="416"/>
      <c r="C26" s="463">
        <f>ROUND(SUM(C21:C25),1)</f>
        <v>8778.2000000000007</v>
      </c>
      <c r="D26" s="416"/>
      <c r="E26" s="463">
        <f>ROUND(SUM(E21:E25),1)</f>
        <v>0</v>
      </c>
      <c r="F26" s="416"/>
      <c r="G26" s="463">
        <f>ROUND(SUM(G21:G25),1)</f>
        <v>0</v>
      </c>
      <c r="H26" s="416"/>
      <c r="I26" s="463">
        <f>ROUND(SUM(I21:I25),1)</f>
        <v>0</v>
      </c>
      <c r="J26" s="416"/>
      <c r="K26" s="463">
        <f>ROUND(SUM(K21:K25),1)</f>
        <v>0</v>
      </c>
      <c r="L26" s="416"/>
      <c r="M26" s="463">
        <f>ROUND(SUM(M21:M25),1)</f>
        <v>0</v>
      </c>
      <c r="N26" s="416"/>
      <c r="O26" s="463">
        <f>ROUND(SUM(O21:O25),1)</f>
        <v>0</v>
      </c>
      <c r="P26" s="416"/>
      <c r="Q26" s="463">
        <f>ROUND(SUM(Q21:Q25),1)</f>
        <v>0</v>
      </c>
      <c r="R26" s="416"/>
      <c r="S26" s="463">
        <f>ROUND(SUM(S21:S25),1)</f>
        <v>0</v>
      </c>
      <c r="T26" s="416"/>
      <c r="U26" s="463">
        <f>ROUND(SUM(U21:U25),1)</f>
        <v>0</v>
      </c>
      <c r="V26" s="416"/>
      <c r="W26" s="463">
        <f>ROUND(SUM(W21:W25),1)</f>
        <v>0</v>
      </c>
      <c r="X26" s="416"/>
      <c r="Y26" s="463">
        <f>ROUND(SUM(Y21:Y25),1)</f>
        <v>0</v>
      </c>
      <c r="Z26" s="416"/>
      <c r="AA26" s="1627"/>
      <c r="AB26" s="463">
        <f>ROUND(SUM(AB21:AB25),1)</f>
        <v>8778.2000000000007</v>
      </c>
      <c r="AC26" s="416"/>
      <c r="AD26" s="880"/>
      <c r="AE26" s="463">
        <f>ROUND(SUM(AE21:AE25),1)</f>
        <v>8449.2999999999993</v>
      </c>
      <c r="AF26" s="1799"/>
      <c r="AG26" s="1799"/>
      <c r="AH26" s="249">
        <f t="shared" si="2"/>
        <v>328.9</v>
      </c>
      <c r="AI26" s="1781"/>
      <c r="AJ26" s="503">
        <f t="shared" si="1"/>
        <v>3.9E-2</v>
      </c>
    </row>
    <row r="27" spans="1:36" ht="15">
      <c r="A27" s="1802" t="s">
        <v>1206</v>
      </c>
      <c r="B27" s="416"/>
      <c r="C27" s="881">
        <f>+'Exhibit F'!D25+'Exhibit G state'!D17</f>
        <v>0</v>
      </c>
      <c r="D27" s="416"/>
      <c r="E27" s="881"/>
      <c r="F27" s="416"/>
      <c r="G27" s="881"/>
      <c r="H27" s="416"/>
      <c r="I27" s="881"/>
      <c r="J27" s="416"/>
      <c r="K27" s="881"/>
      <c r="L27" s="416"/>
      <c r="M27" s="881"/>
      <c r="N27" s="416"/>
      <c r="O27" s="881"/>
      <c r="P27" s="416"/>
      <c r="Q27" s="881"/>
      <c r="R27" s="416"/>
      <c r="S27" s="881"/>
      <c r="T27" s="416"/>
      <c r="U27" s="881"/>
      <c r="V27" s="416"/>
      <c r="W27" s="881"/>
      <c r="X27" s="416"/>
      <c r="Y27" s="881"/>
      <c r="Z27" s="416"/>
      <c r="AA27" s="1627"/>
      <c r="AB27" s="881">
        <f t="shared" si="0"/>
        <v>0</v>
      </c>
      <c r="AC27" s="416"/>
      <c r="AD27" s="880"/>
      <c r="AE27" s="881">
        <f>+'Exhibit F'!AF25+'Exhibit G state'!AG17</f>
        <v>0</v>
      </c>
      <c r="AF27" s="1799"/>
      <c r="AG27" s="1799"/>
      <c r="AH27" s="1042">
        <f t="shared" si="2"/>
        <v>0</v>
      </c>
      <c r="AI27" s="1781"/>
      <c r="AJ27" s="1565">
        <f>ROUND(IF(AE27=0,0,AH27/ABS(AE27)),3)</f>
        <v>0</v>
      </c>
    </row>
    <row r="28" spans="1:36" ht="15">
      <c r="A28" s="1802" t="s">
        <v>1207</v>
      </c>
      <c r="B28" s="416"/>
      <c r="C28" s="881">
        <f>+'Exhibit F'!D26+'Exhibit H'!B16</f>
        <v>0</v>
      </c>
      <c r="D28" s="416"/>
      <c r="E28" s="881"/>
      <c r="F28" s="416"/>
      <c r="G28" s="881"/>
      <c r="H28" s="416"/>
      <c r="I28" s="881"/>
      <c r="J28" s="416"/>
      <c r="K28" s="881"/>
      <c r="L28" s="416"/>
      <c r="M28" s="881"/>
      <c r="N28" s="416"/>
      <c r="O28" s="881"/>
      <c r="P28" s="416"/>
      <c r="Q28" s="881"/>
      <c r="R28" s="416"/>
      <c r="S28" s="881"/>
      <c r="T28" s="416"/>
      <c r="U28" s="881"/>
      <c r="V28" s="416"/>
      <c r="W28" s="881"/>
      <c r="X28" s="416"/>
      <c r="Y28" s="881"/>
      <c r="Z28" s="416"/>
      <c r="AA28" s="1627"/>
      <c r="AB28" s="881">
        <f t="shared" si="0"/>
        <v>0</v>
      </c>
      <c r="AC28" s="416"/>
      <c r="AD28" s="880"/>
      <c r="AE28" s="881">
        <f>+'Exhibit F'!AF26+'Exhibit H'!AD16</f>
        <v>0</v>
      </c>
      <c r="AF28" s="1799"/>
      <c r="AG28" s="1799"/>
      <c r="AH28" s="1042">
        <f t="shared" si="2"/>
        <v>0</v>
      </c>
      <c r="AI28" s="1781"/>
      <c r="AJ28" s="1565">
        <f>ROUND(IF(AE28=0,0,AH28/ABS(AE28)),3)</f>
        <v>0</v>
      </c>
    </row>
    <row r="29" spans="1:36" ht="15">
      <c r="A29" s="1132" t="s">
        <v>1208</v>
      </c>
      <c r="B29" s="881"/>
      <c r="C29" s="881">
        <f>+'Exhibit F'!D27</f>
        <v>-2922</v>
      </c>
      <c r="D29" s="881"/>
      <c r="E29" s="881"/>
      <c r="F29" s="881"/>
      <c r="G29" s="881"/>
      <c r="H29" s="881"/>
      <c r="I29" s="881"/>
      <c r="J29" s="881"/>
      <c r="K29" s="881"/>
      <c r="L29" s="416"/>
      <c r="M29" s="881"/>
      <c r="N29" s="416"/>
      <c r="O29" s="881"/>
      <c r="P29" s="416"/>
      <c r="Q29" s="881"/>
      <c r="R29" s="416"/>
      <c r="S29" s="881"/>
      <c r="T29" s="416"/>
      <c r="U29" s="881"/>
      <c r="V29" s="416"/>
      <c r="W29" s="881"/>
      <c r="X29" s="416"/>
      <c r="Y29" s="881"/>
      <c r="Z29" s="416"/>
      <c r="AA29" s="1627"/>
      <c r="AB29" s="881">
        <f t="shared" si="0"/>
        <v>-2922</v>
      </c>
      <c r="AC29" s="416"/>
      <c r="AD29" s="880"/>
      <c r="AE29" s="881">
        <f>+'Exhibit F'!AF27</f>
        <v>-3447.5</v>
      </c>
      <c r="AF29" s="1799"/>
      <c r="AG29" s="1799"/>
      <c r="AH29" s="1042">
        <f>-ROUND(SUM(+AB29-AE29),1)</f>
        <v>-525.5</v>
      </c>
      <c r="AI29" s="1781"/>
      <c r="AJ29" s="1629">
        <f>ROUND(SUM(+AH29/ABS(AE29)),3)</f>
        <v>-0.152</v>
      </c>
    </row>
    <row r="30" spans="1:36" ht="15.75">
      <c r="A30" s="555" t="s">
        <v>1205</v>
      </c>
      <c r="B30" s="416"/>
      <c r="C30" s="463">
        <f>ROUND(SUM(C26+C27+C28+C29),1)</f>
        <v>5856.2</v>
      </c>
      <c r="D30" s="416"/>
      <c r="E30" s="463">
        <f>ROUND(SUM(E26+E27+E28+E29),1)</f>
        <v>0</v>
      </c>
      <c r="F30" s="416"/>
      <c r="G30" s="463">
        <f>ROUND(SUM(G26+G27+G28+G29),1)</f>
        <v>0</v>
      </c>
      <c r="H30" s="416"/>
      <c r="I30" s="463">
        <f>ROUND(SUM(I26+I27+I28+I29),1)</f>
        <v>0</v>
      </c>
      <c r="J30" s="416"/>
      <c r="K30" s="463">
        <f>ROUND(SUM(K26+K27+K28+K29),1)</f>
        <v>0</v>
      </c>
      <c r="L30" s="416"/>
      <c r="M30" s="463">
        <f>ROUND(SUM(M26+M27+M28+M29),1)</f>
        <v>0</v>
      </c>
      <c r="N30" s="416"/>
      <c r="O30" s="463">
        <f>ROUND(SUM(O26+O27+O28+O29),1)</f>
        <v>0</v>
      </c>
      <c r="P30" s="416"/>
      <c r="Q30" s="463">
        <f>ROUND(SUM(Q26+Q27+Q28+Q29),1)</f>
        <v>0</v>
      </c>
      <c r="R30" s="416"/>
      <c r="S30" s="463">
        <f>ROUND(SUM(S26+S27+S28+S29),1)</f>
        <v>0</v>
      </c>
      <c r="T30" s="416"/>
      <c r="U30" s="463">
        <f>ROUND(SUM(U26+U27+U28+U29),1)</f>
        <v>0</v>
      </c>
      <c r="V30" s="416"/>
      <c r="W30" s="463">
        <f>ROUND(SUM(W26+W27+W28+W29),1)</f>
        <v>0</v>
      </c>
      <c r="X30" s="416"/>
      <c r="Y30" s="463">
        <f>ROUND(SUM(Y26+Y27+Y28+Y29),1)</f>
        <v>0</v>
      </c>
      <c r="Z30" s="416"/>
      <c r="AA30" s="1627"/>
      <c r="AB30" s="463">
        <f>ROUND(SUM(AB26+AB27+AB28+AB29),1)</f>
        <v>5856.2</v>
      </c>
      <c r="AC30" s="416"/>
      <c r="AD30" s="880"/>
      <c r="AE30" s="463">
        <f>ROUND(SUM(AE26+AE27+AE28+AE29),1)</f>
        <v>5001.8</v>
      </c>
      <c r="AF30" s="1799"/>
      <c r="AG30" s="1799"/>
      <c r="AH30" s="463">
        <f>ROUND(SUM(AH26+AH27+AH28-AH29),1)</f>
        <v>854.4</v>
      </c>
      <c r="AI30" s="1780"/>
      <c r="AJ30" s="503">
        <f>ROUND(SUM(+AH30/ABS(AE30)),3)</f>
        <v>0.17100000000000001</v>
      </c>
    </row>
    <row r="31" spans="1:36" ht="15">
      <c r="A31" s="1768" t="s">
        <v>1261</v>
      </c>
      <c r="B31" s="416"/>
      <c r="C31" s="416"/>
      <c r="D31" s="416"/>
      <c r="E31" s="416"/>
      <c r="F31" s="416"/>
      <c r="G31" s="416"/>
      <c r="H31" s="416"/>
      <c r="I31" s="2504"/>
      <c r="J31" s="416"/>
      <c r="K31" s="2504"/>
      <c r="L31" s="416"/>
      <c r="M31" s="2504"/>
      <c r="N31" s="416"/>
      <c r="O31" s="2504"/>
      <c r="P31" s="416"/>
      <c r="Q31" s="2504"/>
      <c r="R31" s="416"/>
      <c r="S31" s="2504"/>
      <c r="T31" s="416"/>
      <c r="U31" s="2504"/>
      <c r="V31" s="416"/>
      <c r="W31" s="2504"/>
      <c r="X31" s="416"/>
      <c r="Y31" s="2504"/>
      <c r="Z31" s="416"/>
      <c r="AA31" s="1627"/>
      <c r="AB31" s="416"/>
      <c r="AC31" s="416"/>
      <c r="AD31" s="880"/>
      <c r="AE31" s="881"/>
      <c r="AF31" s="1799"/>
      <c r="AG31" s="1799"/>
      <c r="AH31" s="1438"/>
      <c r="AI31" s="416"/>
      <c r="AJ31" s="1438"/>
    </row>
    <row r="32" spans="1:36" ht="15">
      <c r="A32" s="1132" t="s">
        <v>1211</v>
      </c>
      <c r="B32" s="416"/>
      <c r="C32" s="881">
        <f>+'Exhibit F'!D30+'Exhibit H'!B19+'Exhibit G state'!D20</f>
        <v>1112.9000000000001</v>
      </c>
      <c r="D32" s="881"/>
      <c r="E32" s="881"/>
      <c r="F32" s="881"/>
      <c r="G32" s="881"/>
      <c r="H32" s="881"/>
      <c r="I32" s="881"/>
      <c r="J32" s="881"/>
      <c r="K32" s="881"/>
      <c r="L32" s="416"/>
      <c r="M32" s="881"/>
      <c r="N32" s="416"/>
      <c r="O32" s="881"/>
      <c r="P32" s="416"/>
      <c r="Q32" s="881"/>
      <c r="R32" s="416"/>
      <c r="S32" s="881"/>
      <c r="T32" s="416"/>
      <c r="U32" s="881"/>
      <c r="V32" s="416"/>
      <c r="W32" s="881"/>
      <c r="X32" s="416"/>
      <c r="Y32" s="881"/>
      <c r="Z32" s="416"/>
      <c r="AA32" s="1627"/>
      <c r="AB32" s="881">
        <f t="shared" ref="AB32:AB39" si="3">ROUND(SUM(C32:Y32),1)</f>
        <v>1112.9000000000001</v>
      </c>
      <c r="AC32" s="416"/>
      <c r="AD32" s="880"/>
      <c r="AE32" s="881">
        <f>+'Exhibit F'!AF30+'Exhibit H'!AD19+'Exhibit G state'!AG20</f>
        <v>1042.9000000000001</v>
      </c>
      <c r="AF32" s="1799"/>
      <c r="AG32" s="1799"/>
      <c r="AH32" s="1042">
        <f t="shared" ref="AH32:AH39" si="4">ROUND(SUM(+AB32-AE32),1)</f>
        <v>70</v>
      </c>
      <c r="AI32" s="1781"/>
      <c r="AJ32" s="1629">
        <f>ROUND(SUM(+AH32/ABS(AE32)),3)</f>
        <v>6.7000000000000004E-2</v>
      </c>
    </row>
    <row r="33" spans="1:36" ht="15">
      <c r="A33" s="1132" t="s">
        <v>1212</v>
      </c>
      <c r="B33" s="416"/>
      <c r="C33" s="881">
        <f>+'Exhibit F'!D31+'Exhibit G state'!D21</f>
        <v>0.9</v>
      </c>
      <c r="D33" s="881"/>
      <c r="E33" s="881"/>
      <c r="F33" s="881"/>
      <c r="G33" s="881"/>
      <c r="H33" s="881"/>
      <c r="I33" s="881"/>
      <c r="J33" s="881"/>
      <c r="K33" s="881"/>
      <c r="L33" s="416"/>
      <c r="M33" s="881"/>
      <c r="N33" s="416"/>
      <c r="O33" s="881"/>
      <c r="P33" s="416"/>
      <c r="Q33" s="881"/>
      <c r="R33" s="416"/>
      <c r="S33" s="881"/>
      <c r="T33" s="416"/>
      <c r="U33" s="881"/>
      <c r="V33" s="416"/>
      <c r="W33" s="881"/>
      <c r="X33" s="416"/>
      <c r="Y33" s="881"/>
      <c r="Z33" s="416"/>
      <c r="AA33" s="1627"/>
      <c r="AB33" s="881">
        <f t="shared" si="3"/>
        <v>0.9</v>
      </c>
      <c r="AC33" s="416"/>
      <c r="AD33" s="880"/>
      <c r="AE33" s="881">
        <f>+'Exhibit F'!AF31+'Exhibit G state'!AG21</f>
        <v>3.7</v>
      </c>
      <c r="AF33" s="1799"/>
      <c r="AG33" s="1799"/>
      <c r="AH33" s="1042">
        <f t="shared" si="4"/>
        <v>-2.8</v>
      </c>
      <c r="AI33" s="1781"/>
      <c r="AJ33" s="1629">
        <f>ROUND(SUM(+AH33/ABS(AE33)),3)</f>
        <v>-0.75700000000000001</v>
      </c>
    </row>
    <row r="34" spans="1:36" ht="15">
      <c r="A34" s="1132" t="s">
        <v>1213</v>
      </c>
      <c r="B34" s="416"/>
      <c r="C34" s="881">
        <f>+'Exhibit F'!D32+'Exhibit G state'!D22</f>
        <v>88</v>
      </c>
      <c r="D34" s="881"/>
      <c r="E34" s="881"/>
      <c r="F34" s="881"/>
      <c r="G34" s="881"/>
      <c r="H34" s="881"/>
      <c r="I34" s="881"/>
      <c r="J34" s="881"/>
      <c r="K34" s="881"/>
      <c r="L34" s="416"/>
      <c r="M34" s="881"/>
      <c r="N34" s="416"/>
      <c r="O34" s="881"/>
      <c r="P34" s="416"/>
      <c r="Q34" s="881"/>
      <c r="R34" s="416"/>
      <c r="S34" s="881"/>
      <c r="T34" s="416"/>
      <c r="U34" s="881"/>
      <c r="V34" s="416"/>
      <c r="W34" s="881"/>
      <c r="X34" s="416"/>
      <c r="Y34" s="881"/>
      <c r="Z34" s="416"/>
      <c r="AA34" s="1627"/>
      <c r="AB34" s="881">
        <f t="shared" si="3"/>
        <v>88</v>
      </c>
      <c r="AC34" s="416"/>
      <c r="AD34" s="880"/>
      <c r="AE34" s="881">
        <f>+'Exhibit F'!AF32+'Exhibit G state'!AG22</f>
        <v>87.699999999999989</v>
      </c>
      <c r="AF34" s="1799"/>
      <c r="AG34" s="1799"/>
      <c r="AH34" s="1042">
        <f t="shared" si="4"/>
        <v>0.3</v>
      </c>
      <c r="AI34" s="1781"/>
      <c r="AJ34" s="1629">
        <f>ROUND(SUM(+AH34/ABS(AE34)),3)</f>
        <v>3.0000000000000001E-3</v>
      </c>
    </row>
    <row r="35" spans="1:36" ht="15">
      <c r="A35" s="1132" t="s">
        <v>1377</v>
      </c>
      <c r="B35" s="2504"/>
      <c r="C35" s="881">
        <f>'Exhibit G state'!D23</f>
        <v>0.2</v>
      </c>
      <c r="D35" s="881"/>
      <c r="E35" s="881"/>
      <c r="F35" s="881"/>
      <c r="G35" s="881"/>
      <c r="H35" s="881"/>
      <c r="I35" s="881"/>
      <c r="J35" s="881"/>
      <c r="K35" s="881"/>
      <c r="L35" s="2504"/>
      <c r="M35" s="881"/>
      <c r="N35" s="2504"/>
      <c r="O35" s="881"/>
      <c r="P35" s="2504"/>
      <c r="Q35" s="881"/>
      <c r="R35" s="2504"/>
      <c r="S35" s="881"/>
      <c r="T35" s="2504"/>
      <c r="U35" s="881"/>
      <c r="V35" s="2504"/>
      <c r="W35" s="881"/>
      <c r="X35" s="2504"/>
      <c r="Y35" s="881"/>
      <c r="Z35" s="2504"/>
      <c r="AA35" s="1627"/>
      <c r="AB35" s="881">
        <f t="shared" si="3"/>
        <v>0.2</v>
      </c>
      <c r="AC35" s="2504"/>
      <c r="AD35" s="880"/>
      <c r="AE35" s="881">
        <f>'Exhibit G state'!AG23</f>
        <v>0.1</v>
      </c>
      <c r="AF35" s="1799"/>
      <c r="AG35" s="1799"/>
      <c r="AH35" s="2502">
        <f>ROUND(SUM(+AB35-AE35),1)</f>
        <v>0.1</v>
      </c>
      <c r="AI35" s="1781"/>
      <c r="AJ35" s="2324">
        <f>ROUND(IF(AE35=0,1,AH35/ABS(AE35)),3)</f>
        <v>1</v>
      </c>
    </row>
    <row r="36" spans="1:36" ht="15">
      <c r="A36" s="1132" t="s">
        <v>1214</v>
      </c>
      <c r="B36" s="416"/>
      <c r="C36" s="881">
        <f>+'Exhibit F'!D33+'Exhibit G state'!D24</f>
        <v>7.9</v>
      </c>
      <c r="D36" s="881"/>
      <c r="E36" s="881"/>
      <c r="F36" s="881"/>
      <c r="G36" s="881"/>
      <c r="H36" s="881"/>
      <c r="I36" s="881"/>
      <c r="J36" s="881"/>
      <c r="K36" s="881"/>
      <c r="L36" s="416"/>
      <c r="M36" s="881"/>
      <c r="N36" s="416"/>
      <c r="O36" s="881"/>
      <c r="P36" s="416"/>
      <c r="Q36" s="881"/>
      <c r="R36" s="416"/>
      <c r="S36" s="881"/>
      <c r="T36" s="416"/>
      <c r="U36" s="881"/>
      <c r="V36" s="416"/>
      <c r="W36" s="881"/>
      <c r="X36" s="416"/>
      <c r="Y36" s="881"/>
      <c r="Z36" s="416"/>
      <c r="AA36" s="1627"/>
      <c r="AB36" s="881">
        <f t="shared" si="3"/>
        <v>7.9</v>
      </c>
      <c r="AC36" s="416"/>
      <c r="AD36" s="880"/>
      <c r="AE36" s="881">
        <f>+'Exhibit F'!AF33+'Exhibit G state'!AG24</f>
        <v>8.6</v>
      </c>
      <c r="AF36" s="1799"/>
      <c r="AG36" s="1799"/>
      <c r="AH36" s="1042">
        <f t="shared" si="4"/>
        <v>-0.7</v>
      </c>
      <c r="AI36" s="1781"/>
      <c r="AJ36" s="2316">
        <f>ROUND(SUM(+AH36/ABS(AE36)),3)</f>
        <v>-8.1000000000000003E-2</v>
      </c>
    </row>
    <row r="37" spans="1:36" ht="15">
      <c r="A37" s="1132" t="s">
        <v>1215</v>
      </c>
      <c r="B37" s="416"/>
      <c r="C37" s="881">
        <f>+'Exhibit F'!D34+'Exhibit G state'!D25</f>
        <v>7.5</v>
      </c>
      <c r="D37" s="881"/>
      <c r="E37" s="881"/>
      <c r="F37" s="881"/>
      <c r="G37" s="881"/>
      <c r="H37" s="881"/>
      <c r="I37" s="881"/>
      <c r="J37" s="881"/>
      <c r="K37" s="881"/>
      <c r="L37" s="416"/>
      <c r="M37" s="881"/>
      <c r="N37" s="416"/>
      <c r="O37" s="881"/>
      <c r="P37" s="416"/>
      <c r="Q37" s="881"/>
      <c r="R37" s="416"/>
      <c r="S37" s="881"/>
      <c r="T37" s="416"/>
      <c r="U37" s="881"/>
      <c r="V37" s="416"/>
      <c r="W37" s="881"/>
      <c r="X37" s="416"/>
      <c r="Y37" s="881"/>
      <c r="Z37" s="416"/>
      <c r="AA37" s="1627"/>
      <c r="AB37" s="881">
        <f t="shared" si="3"/>
        <v>7.5</v>
      </c>
      <c r="AC37" s="416"/>
      <c r="AD37" s="880"/>
      <c r="AE37" s="881">
        <f>+'Exhibit F'!AF34+'Exhibit G state'!AG25</f>
        <v>21</v>
      </c>
      <c r="AF37" s="1799"/>
      <c r="AG37" s="1799"/>
      <c r="AH37" s="1042">
        <f t="shared" si="4"/>
        <v>-13.5</v>
      </c>
      <c r="AI37" s="1781"/>
      <c r="AJ37" s="2316">
        <f>ROUND(SUM(+AH37/ABS(AE37)),3)</f>
        <v>-0.64300000000000002</v>
      </c>
    </row>
    <row r="38" spans="1:36" ht="15">
      <c r="A38" s="1132" t="s">
        <v>1216</v>
      </c>
      <c r="B38" s="416"/>
      <c r="C38" s="881">
        <f>+'Exhibit F'!D35+'Exhibit G state'!D26</f>
        <v>2.8</v>
      </c>
      <c r="D38" s="881"/>
      <c r="E38" s="881"/>
      <c r="F38" s="881"/>
      <c r="G38" s="881"/>
      <c r="H38" s="881"/>
      <c r="I38" s="881"/>
      <c r="J38" s="881"/>
      <c r="K38" s="881"/>
      <c r="L38" s="416"/>
      <c r="M38" s="881"/>
      <c r="N38" s="416"/>
      <c r="O38" s="881"/>
      <c r="P38" s="416"/>
      <c r="Q38" s="881"/>
      <c r="R38" s="416"/>
      <c r="S38" s="881"/>
      <c r="T38" s="416"/>
      <c r="U38" s="881"/>
      <c r="V38" s="416"/>
      <c r="W38" s="881"/>
      <c r="X38" s="416"/>
      <c r="Y38" s="881"/>
      <c r="Z38" s="416"/>
      <c r="AA38" s="1627"/>
      <c r="AB38" s="881">
        <f t="shared" si="3"/>
        <v>2.8</v>
      </c>
      <c r="AC38" s="416"/>
      <c r="AD38" s="880"/>
      <c r="AE38" s="881">
        <f>+'Exhibit F'!AF35+'Exhibit G state'!AG26</f>
        <v>0.1</v>
      </c>
      <c r="AF38" s="1799"/>
      <c r="AG38" s="1799"/>
      <c r="AH38" s="1042">
        <f t="shared" si="4"/>
        <v>2.7</v>
      </c>
      <c r="AI38" s="1781"/>
      <c r="AJ38" s="2372">
        <f>ROUND(IF(AE38=0,1,AH38/ABS(AE38)),3)</f>
        <v>27</v>
      </c>
    </row>
    <row r="39" spans="1:36" ht="15">
      <c r="A39" s="1803" t="s">
        <v>1217</v>
      </c>
      <c r="B39" s="416"/>
      <c r="C39" s="881">
        <f>+'Exhibit F'!D36+'Exhibit G state'!D27</f>
        <v>12.8</v>
      </c>
      <c r="D39" s="881"/>
      <c r="E39" s="881"/>
      <c r="F39" s="881"/>
      <c r="G39" s="881"/>
      <c r="H39" s="881"/>
      <c r="I39" s="881"/>
      <c r="J39" s="881"/>
      <c r="K39" s="881"/>
      <c r="L39" s="416"/>
      <c r="M39" s="881"/>
      <c r="N39" s="416"/>
      <c r="O39" s="881"/>
      <c r="P39" s="416"/>
      <c r="Q39" s="881"/>
      <c r="R39" s="416"/>
      <c r="S39" s="881"/>
      <c r="T39" s="416"/>
      <c r="U39" s="881"/>
      <c r="V39" s="416"/>
      <c r="W39" s="881"/>
      <c r="X39" s="416"/>
      <c r="Y39" s="881"/>
      <c r="Z39" s="416"/>
      <c r="AA39" s="1627"/>
      <c r="AB39" s="881">
        <f t="shared" si="3"/>
        <v>12.8</v>
      </c>
      <c r="AC39" s="416"/>
      <c r="AD39" s="880"/>
      <c r="AE39" s="881">
        <f>+'Exhibit F'!AF36+'Exhibit G state'!AG27</f>
        <v>13.4</v>
      </c>
      <c r="AF39" s="1799"/>
      <c r="AG39" s="1799"/>
      <c r="AH39" s="1042">
        <f t="shared" si="4"/>
        <v>-0.6</v>
      </c>
      <c r="AI39" s="1781"/>
      <c r="AJ39" s="1629">
        <f>ROUND(SUM(+AH39/ABS(AE39)),3)</f>
        <v>-4.4999999999999998E-2</v>
      </c>
    </row>
    <row r="40" spans="1:36" ht="15.75">
      <c r="A40" s="555" t="s">
        <v>1210</v>
      </c>
      <c r="B40" s="416"/>
      <c r="C40" s="463">
        <f>ROUND(SUM(C32:C39),1)</f>
        <v>1233</v>
      </c>
      <c r="D40" s="416"/>
      <c r="E40" s="463">
        <f>ROUND(SUM(E32:E39),1)</f>
        <v>0</v>
      </c>
      <c r="F40" s="416"/>
      <c r="G40" s="463">
        <f>ROUND(SUM(G32:G39),1)</f>
        <v>0</v>
      </c>
      <c r="H40" s="416"/>
      <c r="I40" s="463">
        <f>ROUND(SUM(I32:I39),1)</f>
        <v>0</v>
      </c>
      <c r="J40" s="416"/>
      <c r="K40" s="463">
        <f>ROUND(SUM(K32:K39),1)</f>
        <v>0</v>
      </c>
      <c r="L40" s="416"/>
      <c r="M40" s="463">
        <f>ROUND(SUM(M32:M39),1)</f>
        <v>0</v>
      </c>
      <c r="N40" s="416"/>
      <c r="O40" s="463">
        <f>ROUND(SUM(O32:O39),1)</f>
        <v>0</v>
      </c>
      <c r="P40" s="416"/>
      <c r="Q40" s="463">
        <f>ROUND(SUM(Q32:Q39),1)</f>
        <v>0</v>
      </c>
      <c r="R40" s="416"/>
      <c r="S40" s="463">
        <f>ROUND(SUM(S32:S39),1)</f>
        <v>0</v>
      </c>
      <c r="T40" s="416"/>
      <c r="U40" s="463">
        <f>ROUND(SUM(U32:U39),1)</f>
        <v>0</v>
      </c>
      <c r="V40" s="416"/>
      <c r="W40" s="463">
        <f>ROUND(SUM(W32:W39),1)</f>
        <v>0</v>
      </c>
      <c r="X40" s="416"/>
      <c r="Y40" s="463">
        <f>ROUND(SUM(Y32:Y39),1)</f>
        <v>0</v>
      </c>
      <c r="Z40" s="416"/>
      <c r="AA40" s="1627"/>
      <c r="AB40" s="463">
        <f>ROUND(SUM(AB32:AB39),1)</f>
        <v>1233</v>
      </c>
      <c r="AC40" s="416"/>
      <c r="AD40" s="880"/>
      <c r="AE40" s="463">
        <f>ROUND(SUM(AE32:AE39),1)</f>
        <v>1177.5</v>
      </c>
      <c r="AF40" s="1799"/>
      <c r="AG40" s="1799"/>
      <c r="AH40" s="463">
        <f>ROUND(SUM(AH32:AH39),1)</f>
        <v>55.5</v>
      </c>
      <c r="AI40" s="1780"/>
      <c r="AJ40" s="503">
        <f>ROUND(SUM(+AH40/ABS(AE40)),3)</f>
        <v>4.7E-2</v>
      </c>
    </row>
    <row r="41" spans="1:36" ht="15">
      <c r="A41" s="1768" t="s">
        <v>1262</v>
      </c>
      <c r="B41" s="416"/>
      <c r="C41" s="416"/>
      <c r="D41" s="416"/>
      <c r="E41" s="416"/>
      <c r="F41" s="416"/>
      <c r="G41" s="416"/>
      <c r="H41" s="416"/>
      <c r="I41" s="2504"/>
      <c r="J41" s="416"/>
      <c r="K41" s="2504"/>
      <c r="L41" s="416"/>
      <c r="M41" s="2504"/>
      <c r="N41" s="416"/>
      <c r="O41" s="2504"/>
      <c r="P41" s="416"/>
      <c r="Q41" s="2504"/>
      <c r="R41" s="416"/>
      <c r="S41" s="2504"/>
      <c r="T41" s="416"/>
      <c r="U41" s="2504"/>
      <c r="V41" s="416"/>
      <c r="W41" s="2504"/>
      <c r="X41" s="416"/>
      <c r="Y41" s="2504"/>
      <c r="Z41" s="416"/>
      <c r="AA41" s="1627"/>
      <c r="AB41" s="416"/>
      <c r="AC41" s="416"/>
      <c r="AD41" s="880"/>
      <c r="AE41" s="881"/>
      <c r="AF41" s="1799"/>
      <c r="AG41" s="1799"/>
      <c r="AH41" s="1438"/>
      <c r="AI41" s="416"/>
      <c r="AJ41" s="1438"/>
    </row>
    <row r="42" spans="1:36" ht="15">
      <c r="A42" s="1132" t="s">
        <v>1219</v>
      </c>
      <c r="B42" s="416"/>
      <c r="C42" s="881">
        <f>+'Exhibit F'!D39+'Exhibit G state'!D30</f>
        <v>455.1</v>
      </c>
      <c r="D42" s="881"/>
      <c r="E42" s="881"/>
      <c r="F42" s="881"/>
      <c r="G42" s="881"/>
      <c r="H42" s="881"/>
      <c r="I42" s="881"/>
      <c r="J42" s="881"/>
      <c r="K42" s="881"/>
      <c r="L42" s="881"/>
      <c r="M42" s="881"/>
      <c r="N42" s="416"/>
      <c r="O42" s="881"/>
      <c r="P42" s="416"/>
      <c r="Q42" s="881"/>
      <c r="R42" s="416"/>
      <c r="S42" s="881"/>
      <c r="T42" s="416"/>
      <c r="U42" s="881"/>
      <c r="V42" s="416"/>
      <c r="W42" s="881"/>
      <c r="X42" s="416"/>
      <c r="Y42" s="881"/>
      <c r="Z42" s="416"/>
      <c r="AA42" s="1627"/>
      <c r="AB42" s="881">
        <f>ROUND(SUM(C42:Y42),1)</f>
        <v>455.1</v>
      </c>
      <c r="AC42" s="416"/>
      <c r="AD42" s="880"/>
      <c r="AE42" s="881">
        <f>+'Exhibit F'!AF39+'Exhibit G state'!AG30</f>
        <v>430.09999999999997</v>
      </c>
      <c r="AF42" s="1799"/>
      <c r="AG42" s="1799"/>
      <c r="AH42" s="1042">
        <f t="shared" ref="AH42:AH54" si="5">ROUND(SUM(+AB42-AE42),1)</f>
        <v>25</v>
      </c>
      <c r="AI42" s="1781"/>
      <c r="AJ42" s="1629">
        <f t="shared" ref="AJ42:AJ47" si="6">ROUND(SUM(+AH42/ABS(AE42)),3)</f>
        <v>5.8000000000000003E-2</v>
      </c>
    </row>
    <row r="43" spans="1:36" ht="15">
      <c r="A43" s="1132" t="s">
        <v>1220</v>
      </c>
      <c r="B43" s="416"/>
      <c r="C43" s="881">
        <f>+'Exhibit G state'!D31+'Exhibit F'!D40</f>
        <v>23.3</v>
      </c>
      <c r="D43" s="881"/>
      <c r="E43" s="881"/>
      <c r="F43" s="881"/>
      <c r="G43" s="881"/>
      <c r="H43" s="881"/>
      <c r="I43" s="881"/>
      <c r="J43" s="881"/>
      <c r="K43" s="881"/>
      <c r="L43" s="881"/>
      <c r="M43" s="881"/>
      <c r="N43" s="416"/>
      <c r="O43" s="881"/>
      <c r="P43" s="416"/>
      <c r="Q43" s="881"/>
      <c r="R43" s="416"/>
      <c r="S43" s="881"/>
      <c r="T43" s="416"/>
      <c r="U43" s="881"/>
      <c r="V43" s="416"/>
      <c r="W43" s="881"/>
      <c r="X43" s="416"/>
      <c r="Y43" s="881"/>
      <c r="Z43" s="416"/>
      <c r="AA43" s="1627"/>
      <c r="AB43" s="881">
        <f>ROUND(SUM(C43:Y43),1)</f>
        <v>23.3</v>
      </c>
      <c r="AC43" s="416"/>
      <c r="AD43" s="880"/>
      <c r="AE43" s="881">
        <f>+'Exhibit G state'!AG31+'Exhibit F'!AF40</f>
        <v>39.700000000000003</v>
      </c>
      <c r="AF43" s="1799"/>
      <c r="AG43" s="1799"/>
      <c r="AH43" s="1042">
        <f t="shared" si="5"/>
        <v>-16.399999999999999</v>
      </c>
      <c r="AI43" s="1781"/>
      <c r="AJ43" s="1629">
        <f t="shared" si="6"/>
        <v>-0.41299999999999998</v>
      </c>
    </row>
    <row r="44" spans="1:36" ht="15">
      <c r="A44" s="1132" t="s">
        <v>1221</v>
      </c>
      <c r="B44" s="416"/>
      <c r="C44" s="881">
        <f>+'Exhibit F'!D41+'Exhibit G state'!D32</f>
        <v>46.199999999999996</v>
      </c>
      <c r="D44" s="881"/>
      <c r="E44" s="881"/>
      <c r="F44" s="881"/>
      <c r="G44" s="881"/>
      <c r="H44" s="881"/>
      <c r="I44" s="881"/>
      <c r="J44" s="881"/>
      <c r="K44" s="881"/>
      <c r="L44" s="881"/>
      <c r="M44" s="881"/>
      <c r="N44" s="416"/>
      <c r="O44" s="881"/>
      <c r="P44" s="416"/>
      <c r="Q44" s="881"/>
      <c r="R44" s="416"/>
      <c r="S44" s="881"/>
      <c r="T44" s="416"/>
      <c r="U44" s="881"/>
      <c r="V44" s="416"/>
      <c r="W44" s="881"/>
      <c r="X44" s="416"/>
      <c r="Y44" s="881"/>
      <c r="Z44" s="416"/>
      <c r="AA44" s="1627"/>
      <c r="AB44" s="881">
        <f>ROUND(SUM(C44:Y44),1)</f>
        <v>46.2</v>
      </c>
      <c r="AC44" s="416"/>
      <c r="AD44" s="880"/>
      <c r="AE44" s="881">
        <f>+'Exhibit F'!AF41+'Exhibit G state'!AG32</f>
        <v>45.5</v>
      </c>
      <c r="AF44" s="1799"/>
      <c r="AG44" s="1799"/>
      <c r="AH44" s="1042">
        <f t="shared" si="5"/>
        <v>0.7</v>
      </c>
      <c r="AI44" s="1781"/>
      <c r="AJ44" s="1629">
        <f t="shared" si="6"/>
        <v>1.4999999999999999E-2</v>
      </c>
    </row>
    <row r="45" spans="1:36" ht="15">
      <c r="A45" s="1132" t="s">
        <v>1222</v>
      </c>
      <c r="B45" s="416"/>
      <c r="C45" s="881">
        <f>+'Exhibit F'!D42+'Exhibit G state'!D33</f>
        <v>-32.6</v>
      </c>
      <c r="D45" s="881"/>
      <c r="E45" s="881"/>
      <c r="F45" s="881"/>
      <c r="G45" s="881"/>
      <c r="H45" s="881"/>
      <c r="I45" s="881"/>
      <c r="J45" s="881"/>
      <c r="K45" s="881"/>
      <c r="L45" s="881"/>
      <c r="M45" s="881"/>
      <c r="N45" s="416"/>
      <c r="O45" s="881"/>
      <c r="P45" s="416"/>
      <c r="Q45" s="881"/>
      <c r="R45" s="416"/>
      <c r="S45" s="881"/>
      <c r="T45" s="416"/>
      <c r="U45" s="881"/>
      <c r="V45" s="416"/>
      <c r="W45" s="881"/>
      <c r="X45" s="416"/>
      <c r="Y45" s="881"/>
      <c r="Z45" s="416"/>
      <c r="AA45" s="1627"/>
      <c r="AB45" s="881">
        <f>ROUND(SUM(C45:Y45),1)</f>
        <v>-32.6</v>
      </c>
      <c r="AC45" s="416"/>
      <c r="AD45" s="880"/>
      <c r="AE45" s="881">
        <f>+'Exhibit F'!AF42+'Exhibit G state'!AG33</f>
        <v>4.3</v>
      </c>
      <c r="AF45" s="1799"/>
      <c r="AG45" s="1799"/>
      <c r="AH45" s="1042">
        <f t="shared" si="5"/>
        <v>-36.9</v>
      </c>
      <c r="AI45" s="1781"/>
      <c r="AJ45" s="1629">
        <f t="shared" si="6"/>
        <v>-8.5809999999999995</v>
      </c>
    </row>
    <row r="46" spans="1:36" ht="15">
      <c r="A46" s="1132" t="s">
        <v>1223</v>
      </c>
      <c r="B46" s="416"/>
      <c r="C46" s="881">
        <f>+'Exhibit F'!D43+'Exhibit G state'!D34</f>
        <v>25.5</v>
      </c>
      <c r="D46" s="881"/>
      <c r="E46" s="881"/>
      <c r="F46" s="881"/>
      <c r="G46" s="881"/>
      <c r="H46" s="881"/>
      <c r="I46" s="881"/>
      <c r="J46" s="881"/>
      <c r="K46" s="881"/>
      <c r="L46" s="881"/>
      <c r="M46" s="881"/>
      <c r="N46" s="416"/>
      <c r="O46" s="881"/>
      <c r="P46" s="416"/>
      <c r="Q46" s="881"/>
      <c r="R46" s="416"/>
      <c r="S46" s="881"/>
      <c r="T46" s="416"/>
      <c r="U46" s="881"/>
      <c r="V46" s="416"/>
      <c r="W46" s="881"/>
      <c r="X46" s="416"/>
      <c r="Y46" s="881"/>
      <c r="Z46" s="416"/>
      <c r="AA46" s="1627"/>
      <c r="AB46" s="881">
        <f>ROUND(SUM(C46:Y46),1)</f>
        <v>25.5</v>
      </c>
      <c r="AC46" s="416"/>
      <c r="AD46" s="880"/>
      <c r="AE46" s="881">
        <f>+'Exhibit F'!AF43+'Exhibit G state'!AG34</f>
        <v>36.799999999999997</v>
      </c>
      <c r="AF46" s="1799"/>
      <c r="AG46" s="1799"/>
      <c r="AH46" s="1042">
        <f t="shared" si="5"/>
        <v>-11.3</v>
      </c>
      <c r="AI46" s="1781"/>
      <c r="AJ46" s="1629">
        <f t="shared" si="6"/>
        <v>-0.307</v>
      </c>
    </row>
    <row r="47" spans="1:36" ht="15.75">
      <c r="A47" s="555" t="s">
        <v>1218</v>
      </c>
      <c r="B47" s="416"/>
      <c r="C47" s="463">
        <f>ROUND(SUM(C42:C46),1)</f>
        <v>517.5</v>
      </c>
      <c r="D47" s="416"/>
      <c r="E47" s="463">
        <f>ROUND(SUM(E42:E46),1)</f>
        <v>0</v>
      </c>
      <c r="F47" s="416"/>
      <c r="G47" s="463">
        <f>ROUND(SUM(G42:G46),1)</f>
        <v>0</v>
      </c>
      <c r="H47" s="416"/>
      <c r="I47" s="463">
        <f>ROUND(SUM(I42:I46),1)</f>
        <v>0</v>
      </c>
      <c r="J47" s="416"/>
      <c r="K47" s="463">
        <f>ROUND(SUM(K42:K46),1)</f>
        <v>0</v>
      </c>
      <c r="L47" s="416"/>
      <c r="M47" s="463">
        <f>ROUND(SUM(M42:M46),1)</f>
        <v>0</v>
      </c>
      <c r="N47" s="416"/>
      <c r="O47" s="463">
        <f>ROUND(SUM(O42:O46),1)</f>
        <v>0</v>
      </c>
      <c r="P47" s="416"/>
      <c r="Q47" s="463">
        <f>ROUND(SUM(Q42:Q46),1)</f>
        <v>0</v>
      </c>
      <c r="R47" s="416"/>
      <c r="S47" s="463">
        <f>ROUND(SUM(S42:S46),1)</f>
        <v>0</v>
      </c>
      <c r="T47" s="416"/>
      <c r="U47" s="463">
        <f>ROUND(SUM(U42:U46),1)</f>
        <v>0</v>
      </c>
      <c r="V47" s="416"/>
      <c r="W47" s="463">
        <f>ROUND(SUM(W42:W46),1)</f>
        <v>0</v>
      </c>
      <c r="X47" s="416"/>
      <c r="Y47" s="463">
        <f>ROUND(SUM(Y42:Y46),1)</f>
        <v>0</v>
      </c>
      <c r="Z47" s="416"/>
      <c r="AA47" s="1627"/>
      <c r="AB47" s="463">
        <f>ROUND(SUM(AB42:AB46),1)</f>
        <v>517.5</v>
      </c>
      <c r="AC47" s="416"/>
      <c r="AD47" s="880"/>
      <c r="AE47" s="463">
        <f>ROUND(SUM(AE42:AE46),1)</f>
        <v>556.4</v>
      </c>
      <c r="AF47" s="1799"/>
      <c r="AG47" s="1799"/>
      <c r="AH47" s="463">
        <f>ROUND(SUM(AH42:AH46),1)</f>
        <v>-38.9</v>
      </c>
      <c r="AI47" s="1780"/>
      <c r="AJ47" s="503">
        <f t="shared" si="6"/>
        <v>-7.0000000000000007E-2</v>
      </c>
    </row>
    <row r="48" spans="1:36" ht="15">
      <c r="A48" s="1768" t="s">
        <v>1263</v>
      </c>
      <c r="B48" s="416"/>
      <c r="C48" s="416"/>
      <c r="D48" s="416"/>
      <c r="E48" s="416"/>
      <c r="F48" s="416"/>
      <c r="G48" s="416"/>
      <c r="H48" s="416"/>
      <c r="I48" s="2504"/>
      <c r="J48" s="416"/>
      <c r="K48" s="2504"/>
      <c r="L48" s="416"/>
      <c r="M48" s="2504"/>
      <c r="N48" s="416"/>
      <c r="O48" s="2504"/>
      <c r="P48" s="416"/>
      <c r="Q48" s="2504"/>
      <c r="R48" s="416"/>
      <c r="S48" s="2504"/>
      <c r="T48" s="416"/>
      <c r="U48" s="2504"/>
      <c r="V48" s="416"/>
      <c r="W48" s="2504"/>
      <c r="X48" s="416"/>
      <c r="Y48" s="2504"/>
      <c r="Z48" s="416"/>
      <c r="AA48" s="1627"/>
      <c r="AB48" s="416"/>
      <c r="AC48" s="416"/>
      <c r="AD48" s="880"/>
      <c r="AE48" s="881"/>
      <c r="AF48" s="1799"/>
      <c r="AG48" s="1799"/>
      <c r="AH48" s="1438"/>
      <c r="AI48" s="416"/>
      <c r="AJ48" s="1438"/>
    </row>
    <row r="49" spans="1:36" ht="15">
      <c r="A49" s="1132" t="s">
        <v>1226</v>
      </c>
      <c r="B49" s="416"/>
      <c r="C49" s="881">
        <f>+'Exhibit F'!D46</f>
        <v>0</v>
      </c>
      <c r="D49" s="881"/>
      <c r="E49" s="881"/>
      <c r="F49" s="881"/>
      <c r="G49" s="881"/>
      <c r="H49" s="881"/>
      <c r="I49" s="881"/>
      <c r="J49" s="881"/>
      <c r="K49" s="881"/>
      <c r="L49" s="416"/>
      <c r="M49" s="881"/>
      <c r="N49" s="416"/>
      <c r="O49" s="881"/>
      <c r="P49" s="416"/>
      <c r="Q49" s="881"/>
      <c r="R49" s="416"/>
      <c r="S49" s="881"/>
      <c r="T49" s="416"/>
      <c r="U49" s="881"/>
      <c r="V49" s="416"/>
      <c r="W49" s="881"/>
      <c r="X49" s="416"/>
      <c r="Y49" s="881"/>
      <c r="Z49" s="416"/>
      <c r="AA49" s="1627"/>
      <c r="AB49" s="881">
        <f t="shared" ref="AB49:AB54" si="7">ROUND(SUM(C49:Y49),1)</f>
        <v>0</v>
      </c>
      <c r="AC49" s="416"/>
      <c r="AD49" s="880"/>
      <c r="AE49" s="881">
        <f>+'Exhibit F'!AF46</f>
        <v>0</v>
      </c>
      <c r="AF49" s="1799"/>
      <c r="AG49" s="1799"/>
      <c r="AH49" s="1042">
        <f t="shared" si="5"/>
        <v>0</v>
      </c>
      <c r="AI49" s="416"/>
      <c r="AJ49" s="2324">
        <f>ROUND(IF(AE49=0,0,AH49/ABS(AE49)),3)</f>
        <v>0</v>
      </c>
    </row>
    <row r="50" spans="1:36" ht="15">
      <c r="A50" s="1132" t="s">
        <v>1227</v>
      </c>
      <c r="B50" s="416"/>
      <c r="C50" s="881">
        <f>+'Exhibit F'!D47</f>
        <v>50.2</v>
      </c>
      <c r="D50" s="881"/>
      <c r="E50" s="881"/>
      <c r="F50" s="881"/>
      <c r="G50" s="881"/>
      <c r="H50" s="881"/>
      <c r="I50" s="881"/>
      <c r="J50" s="881"/>
      <c r="K50" s="881"/>
      <c r="L50" s="416"/>
      <c r="M50" s="881"/>
      <c r="N50" s="416"/>
      <c r="O50" s="881"/>
      <c r="P50" s="416"/>
      <c r="Q50" s="881"/>
      <c r="R50" s="416"/>
      <c r="S50" s="881"/>
      <c r="T50" s="416"/>
      <c r="U50" s="881"/>
      <c r="V50" s="416"/>
      <c r="W50" s="881"/>
      <c r="X50" s="416"/>
      <c r="Y50" s="881"/>
      <c r="Z50" s="416"/>
      <c r="AA50" s="1627"/>
      <c r="AB50" s="881">
        <f t="shared" si="7"/>
        <v>50.2</v>
      </c>
      <c r="AC50" s="416"/>
      <c r="AD50" s="880"/>
      <c r="AE50" s="881">
        <f>+'Exhibit F'!AF47</f>
        <v>89.7</v>
      </c>
      <c r="AF50" s="1799"/>
      <c r="AG50" s="1799"/>
      <c r="AH50" s="1042">
        <f t="shared" si="5"/>
        <v>-39.5</v>
      </c>
      <c r="AI50" s="416"/>
      <c r="AJ50" s="1629">
        <f t="shared" ref="AJ50:AJ55" si="8">ROUND(SUM(+AH50/ABS(AE50)),3)</f>
        <v>-0.44</v>
      </c>
    </row>
    <row r="51" spans="1:36" ht="15">
      <c r="A51" s="1132" t="s">
        <v>1228</v>
      </c>
      <c r="B51" s="416"/>
      <c r="C51" s="881">
        <f>+'Exhibit F'!D48</f>
        <v>0.9</v>
      </c>
      <c r="D51" s="881"/>
      <c r="E51" s="881"/>
      <c r="F51" s="881"/>
      <c r="G51" s="881"/>
      <c r="H51" s="881"/>
      <c r="I51" s="881"/>
      <c r="J51" s="881"/>
      <c r="K51" s="881"/>
      <c r="L51" s="416"/>
      <c r="M51" s="881"/>
      <c r="N51" s="416"/>
      <c r="O51" s="881"/>
      <c r="P51" s="416"/>
      <c r="Q51" s="881"/>
      <c r="R51" s="416"/>
      <c r="S51" s="881"/>
      <c r="T51" s="416"/>
      <c r="U51" s="881"/>
      <c r="V51" s="416"/>
      <c r="W51" s="881"/>
      <c r="X51" s="416"/>
      <c r="Y51" s="881"/>
      <c r="Z51" s="416"/>
      <c r="AA51" s="1627"/>
      <c r="AB51" s="881">
        <f t="shared" si="7"/>
        <v>0.9</v>
      </c>
      <c r="AC51" s="416"/>
      <c r="AD51" s="880"/>
      <c r="AE51" s="881">
        <f>+'Exhibit F'!AF48</f>
        <v>0.8</v>
      </c>
      <c r="AF51" s="1799"/>
      <c r="AG51" s="1799"/>
      <c r="AH51" s="1042">
        <f t="shared" si="5"/>
        <v>0.1</v>
      </c>
      <c r="AI51" s="416"/>
      <c r="AJ51" s="1629">
        <f t="shared" si="8"/>
        <v>0.125</v>
      </c>
    </row>
    <row r="52" spans="1:36" ht="15">
      <c r="A52" s="1132" t="s">
        <v>1229</v>
      </c>
      <c r="B52" s="416"/>
      <c r="C52" s="881">
        <f>+'Exhibit F'!D49+'Exhibit H'!B22</f>
        <v>87</v>
      </c>
      <c r="D52" s="881"/>
      <c r="E52" s="881"/>
      <c r="F52" s="881"/>
      <c r="G52" s="881"/>
      <c r="H52" s="881"/>
      <c r="I52" s="881"/>
      <c r="J52" s="881"/>
      <c r="K52" s="881"/>
      <c r="L52" s="416"/>
      <c r="M52" s="881"/>
      <c r="N52" s="416"/>
      <c r="O52" s="881"/>
      <c r="P52" s="416"/>
      <c r="Q52" s="881"/>
      <c r="R52" s="416"/>
      <c r="S52" s="881"/>
      <c r="T52" s="416"/>
      <c r="U52" s="881"/>
      <c r="V52" s="416"/>
      <c r="W52" s="881"/>
      <c r="X52" s="416"/>
      <c r="Y52" s="881"/>
      <c r="Z52" s="416"/>
      <c r="AA52" s="1627"/>
      <c r="AB52" s="881">
        <f t="shared" si="7"/>
        <v>87</v>
      </c>
      <c r="AC52" s="416"/>
      <c r="AD52" s="880"/>
      <c r="AE52" s="881">
        <f>+'Exhibit F'!AF49+'Exhibit I State'!AG28+'Exhibit H'!AD22</f>
        <v>94.8</v>
      </c>
      <c r="AF52" s="1799"/>
      <c r="AG52" s="1799"/>
      <c r="AH52" s="1042">
        <f t="shared" si="5"/>
        <v>-7.8</v>
      </c>
      <c r="AI52" s="416"/>
      <c r="AJ52" s="1629">
        <f t="shared" si="8"/>
        <v>-8.2000000000000003E-2</v>
      </c>
    </row>
    <row r="53" spans="1:36" ht="15">
      <c r="A53" s="1132" t="s">
        <v>1230</v>
      </c>
      <c r="B53" s="416"/>
      <c r="C53" s="881">
        <f>+'Exhibit F'!D50</f>
        <v>0.5</v>
      </c>
      <c r="D53" s="881"/>
      <c r="E53" s="881"/>
      <c r="F53" s="881"/>
      <c r="G53" s="881"/>
      <c r="H53" s="881"/>
      <c r="I53" s="881"/>
      <c r="J53" s="881"/>
      <c r="K53" s="881"/>
      <c r="L53" s="416"/>
      <c r="M53" s="881"/>
      <c r="N53" s="416"/>
      <c r="O53" s="881"/>
      <c r="P53" s="416"/>
      <c r="Q53" s="881"/>
      <c r="R53" s="416"/>
      <c r="S53" s="881"/>
      <c r="T53" s="416"/>
      <c r="U53" s="881"/>
      <c r="V53" s="416"/>
      <c r="W53" s="881"/>
      <c r="X53" s="416"/>
      <c r="Y53" s="881"/>
      <c r="Z53" s="416"/>
      <c r="AA53" s="1627"/>
      <c r="AB53" s="881">
        <f t="shared" si="7"/>
        <v>0.5</v>
      </c>
      <c r="AC53" s="416"/>
      <c r="AD53" s="880"/>
      <c r="AE53" s="881">
        <f>+'Exhibit F'!AF50</f>
        <v>0.4</v>
      </c>
      <c r="AF53" s="1799"/>
      <c r="AG53" s="1799"/>
      <c r="AH53" s="1042">
        <f t="shared" si="5"/>
        <v>0.1</v>
      </c>
      <c r="AI53" s="416"/>
      <c r="AJ53" s="1629">
        <f>ROUND(IF(AE53=0,0,AH53/ABS(AE53)),3)</f>
        <v>0.25</v>
      </c>
    </row>
    <row r="54" spans="1:36" ht="15">
      <c r="A54" s="1803" t="s">
        <v>1231</v>
      </c>
      <c r="B54" s="416"/>
      <c r="C54" s="881">
        <f>+'Exhibit F'!D51+'Exhibit G state'!D37</f>
        <v>0</v>
      </c>
      <c r="D54" s="881"/>
      <c r="E54" s="881"/>
      <c r="F54" s="881"/>
      <c r="G54" s="881"/>
      <c r="H54" s="881"/>
      <c r="I54" s="881"/>
      <c r="J54" s="881"/>
      <c r="K54" s="881"/>
      <c r="L54" s="416"/>
      <c r="M54" s="881"/>
      <c r="N54" s="416"/>
      <c r="O54" s="881"/>
      <c r="P54" s="416"/>
      <c r="Q54" s="881"/>
      <c r="R54" s="416"/>
      <c r="S54" s="881"/>
      <c r="T54" s="416"/>
      <c r="U54" s="881"/>
      <c r="V54" s="416"/>
      <c r="W54" s="881"/>
      <c r="X54" s="416"/>
      <c r="Y54" s="881"/>
      <c r="Z54" s="416"/>
      <c r="AA54" s="1627"/>
      <c r="AB54" s="881">
        <f t="shared" si="7"/>
        <v>0</v>
      </c>
      <c r="AC54" s="416"/>
      <c r="AD54" s="880"/>
      <c r="AE54" s="893">
        <f>+'Exhibit F'!AF51+'Exhibit G state'!AG37</f>
        <v>120.2</v>
      </c>
      <c r="AF54" s="1799"/>
      <c r="AG54" s="1799"/>
      <c r="AH54" s="1042">
        <f t="shared" si="5"/>
        <v>-120.2</v>
      </c>
      <c r="AI54" s="416"/>
      <c r="AJ54" s="1629">
        <f t="shared" si="8"/>
        <v>-1</v>
      </c>
    </row>
    <row r="55" spans="1:36" ht="15.75">
      <c r="A55" s="555" t="s">
        <v>1224</v>
      </c>
      <c r="B55" s="416"/>
      <c r="C55" s="1144">
        <f>ROUND(SUM(C49:C54),1)</f>
        <v>138.6</v>
      </c>
      <c r="D55" s="416"/>
      <c r="E55" s="1144">
        <f>ROUND(SUM(E49:E54),1)</f>
        <v>0</v>
      </c>
      <c r="F55" s="416"/>
      <c r="G55" s="1144">
        <f>ROUND(SUM(G49:G54),1)</f>
        <v>0</v>
      </c>
      <c r="H55" s="416"/>
      <c r="I55" s="2514">
        <f>ROUND(SUM(I49:I54),1)</f>
        <v>0</v>
      </c>
      <c r="J55" s="416"/>
      <c r="K55" s="2514">
        <f>ROUND(SUM(K49:K54),1)</f>
        <v>0</v>
      </c>
      <c r="L55" s="416"/>
      <c r="M55" s="2514">
        <f>ROUND(SUM(M49:M54),1)</f>
        <v>0</v>
      </c>
      <c r="N55" s="416"/>
      <c r="O55" s="2514">
        <f>ROUND(SUM(O49:O54),1)</f>
        <v>0</v>
      </c>
      <c r="P55" s="416"/>
      <c r="Q55" s="2514">
        <f>ROUND(SUM(Q49:Q54),1)</f>
        <v>0</v>
      </c>
      <c r="R55" s="416"/>
      <c r="S55" s="2514">
        <f>ROUND(SUM(S49:S54),1)</f>
        <v>0</v>
      </c>
      <c r="T55" s="416"/>
      <c r="U55" s="2514">
        <f>ROUND(SUM(U49:U54),1)</f>
        <v>0</v>
      </c>
      <c r="V55" s="416"/>
      <c r="W55" s="2514">
        <f>ROUND(SUM(W49:W54),1)</f>
        <v>0</v>
      </c>
      <c r="X55" s="416"/>
      <c r="Y55" s="2514">
        <f>ROUND(SUM(Y49:Y54),1)</f>
        <v>0</v>
      </c>
      <c r="Z55" s="416"/>
      <c r="AA55" s="1627"/>
      <c r="AB55" s="1144">
        <f>ROUND(SUM(AB49:AB54),1)</f>
        <v>138.6</v>
      </c>
      <c r="AC55" s="416"/>
      <c r="AD55" s="880"/>
      <c r="AE55" s="463">
        <f>ROUND(SUM(AE49:AE54),1)</f>
        <v>305.89999999999998</v>
      </c>
      <c r="AF55" s="1799"/>
      <c r="AG55" s="1799"/>
      <c r="AH55" s="463">
        <f>ROUND(SUM(AH49:AH54),1)</f>
        <v>-167.3</v>
      </c>
      <c r="AI55" s="1780"/>
      <c r="AJ55" s="1791">
        <f t="shared" si="8"/>
        <v>-0.54700000000000004</v>
      </c>
    </row>
    <row r="56" spans="1:36" ht="15.75">
      <c r="A56" s="416"/>
      <c r="B56" s="416"/>
      <c r="C56" s="893"/>
      <c r="D56" s="881"/>
      <c r="E56" s="893"/>
      <c r="F56" s="893"/>
      <c r="G56" s="893"/>
      <c r="H56" s="893"/>
      <c r="I56" s="893"/>
      <c r="J56" s="893"/>
      <c r="K56" s="893"/>
      <c r="L56" s="893"/>
      <c r="M56" s="893"/>
      <c r="N56" s="893"/>
      <c r="O56" s="893"/>
      <c r="P56" s="893"/>
      <c r="Q56" s="893"/>
      <c r="R56" s="893"/>
      <c r="S56" s="893"/>
      <c r="T56" s="893"/>
      <c r="U56" s="893"/>
      <c r="V56" s="893"/>
      <c r="W56" s="893"/>
      <c r="X56" s="893"/>
      <c r="Y56" s="893"/>
      <c r="Z56" s="881"/>
      <c r="AA56" s="1628"/>
      <c r="AB56" s="1797"/>
      <c r="AC56" s="881"/>
      <c r="AD56" s="883"/>
      <c r="AE56" s="893"/>
      <c r="AF56" s="893"/>
      <c r="AG56" s="893"/>
      <c r="AH56" s="893"/>
      <c r="AI56" s="416"/>
      <c r="AJ56" s="1767"/>
    </row>
    <row r="57" spans="1:36" ht="15.75">
      <c r="A57" s="555" t="s">
        <v>1194</v>
      </c>
      <c r="B57" s="217"/>
      <c r="C57" s="190">
        <f>ROUND(SUM(C55+C47+C40+C30),1)</f>
        <v>7745.3</v>
      </c>
      <c r="D57" s="254"/>
      <c r="E57" s="190">
        <f>ROUND(SUM(E55+E47+E40+E30),1)</f>
        <v>0</v>
      </c>
      <c r="F57" s="254"/>
      <c r="G57" s="190">
        <f>ROUND(SUM(G55+G47+G40+G30),1)</f>
        <v>0</v>
      </c>
      <c r="H57" s="254"/>
      <c r="I57" s="190">
        <f>ROUND(SUM(I55+I47+I40+I30),1)</f>
        <v>0</v>
      </c>
      <c r="J57" s="254"/>
      <c r="K57" s="190">
        <f>ROUND(SUM(K55+K47+K40+K30),1)</f>
        <v>0</v>
      </c>
      <c r="L57" s="254"/>
      <c r="M57" s="190">
        <f>ROUND(SUM(M55+M47+M40+M30),1)</f>
        <v>0</v>
      </c>
      <c r="N57" s="254"/>
      <c r="O57" s="190">
        <f>ROUND(SUM(O55+O47+O40+O30),1)</f>
        <v>0</v>
      </c>
      <c r="P57" s="254"/>
      <c r="Q57" s="190">
        <f>ROUND(SUM(Q55+Q47+Q40+Q30),1)</f>
        <v>0</v>
      </c>
      <c r="R57" s="254"/>
      <c r="S57" s="190">
        <f>ROUND(SUM(S55+S47+S40+S30),1)</f>
        <v>0</v>
      </c>
      <c r="T57" s="254"/>
      <c r="U57" s="190">
        <f>ROUND(SUM(U55+U47+U40+U30),1)</f>
        <v>0</v>
      </c>
      <c r="V57" s="254"/>
      <c r="W57" s="190">
        <f>ROUND(SUM(W55+W47+W40+W30),1)</f>
        <v>0</v>
      </c>
      <c r="X57" s="355"/>
      <c r="Y57" s="190">
        <f>ROUND(SUM(Y55+Y47+Y40+Y30),1)</f>
        <v>0</v>
      </c>
      <c r="Z57" s="355"/>
      <c r="AA57" s="232"/>
      <c r="AB57" s="900">
        <f>ROUND(SUM(C57:Y57),1)</f>
        <v>7745.3</v>
      </c>
      <c r="AC57" s="254"/>
      <c r="AD57" s="244"/>
      <c r="AE57" s="577">
        <f>ROUND(SUM(+AE30+AE40+AE47+AE55),1)</f>
        <v>7041.6</v>
      </c>
      <c r="AF57" s="243"/>
      <c r="AG57" s="1147"/>
      <c r="AH57" s="577">
        <f>ROUND(+AB57-AE57,1)</f>
        <v>703.7</v>
      </c>
      <c r="AI57" s="1608"/>
      <c r="AJ57" s="501">
        <f>ROUND(SUM(+AH57/ABS(AE57)),3)</f>
        <v>0.1</v>
      </c>
    </row>
    <row r="58" spans="1:36" ht="15">
      <c r="A58" s="416"/>
      <c r="B58" s="416"/>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1628"/>
      <c r="AB58" s="881"/>
      <c r="AC58" s="881"/>
      <c r="AD58" s="883"/>
      <c r="AE58" s="881"/>
      <c r="AF58" s="893"/>
      <c r="AG58" s="893"/>
      <c r="AH58" s="881"/>
      <c r="AI58" s="416"/>
      <c r="AJ58" s="1629"/>
    </row>
    <row r="59" spans="1:36" ht="15.75">
      <c r="A59" s="467" t="s">
        <v>1128</v>
      </c>
      <c r="B59" s="416"/>
      <c r="C59" s="881"/>
      <c r="D59" s="881"/>
      <c r="E59" s="881"/>
      <c r="F59" s="881"/>
      <c r="G59" s="881"/>
      <c r="H59" s="881"/>
      <c r="I59" s="881"/>
      <c r="J59" s="881"/>
      <c r="K59" s="881"/>
      <c r="L59" s="881"/>
      <c r="M59" s="881"/>
      <c r="N59" s="881"/>
      <c r="O59" s="881"/>
      <c r="P59" s="881"/>
      <c r="Q59" s="881"/>
      <c r="R59" s="881"/>
      <c r="S59" s="881"/>
      <c r="T59" s="881"/>
      <c r="U59" s="881"/>
      <c r="V59" s="881"/>
      <c r="W59" s="881"/>
      <c r="X59" s="881"/>
      <c r="Y59" s="881"/>
      <c r="Z59" s="881"/>
      <c r="AA59" s="882"/>
      <c r="AB59" s="881"/>
      <c r="AC59" s="881"/>
      <c r="AD59" s="883"/>
      <c r="AE59" s="881"/>
      <c r="AF59" s="893"/>
      <c r="AG59" s="893"/>
      <c r="AH59" s="881"/>
      <c r="AI59" s="416"/>
      <c r="AJ59" s="1565"/>
    </row>
    <row r="60" spans="1:36" ht="15">
      <c r="A60" s="1541" t="s">
        <v>1253</v>
      </c>
      <c r="B60" s="416"/>
      <c r="C60" s="881"/>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2"/>
      <c r="AB60" s="881"/>
      <c r="AC60" s="881"/>
      <c r="AD60" s="883"/>
      <c r="AE60" s="881"/>
      <c r="AF60" s="893"/>
      <c r="AG60" s="893"/>
      <c r="AH60" s="881"/>
      <c r="AI60" s="416"/>
      <c r="AJ60" s="1565"/>
    </row>
    <row r="61" spans="1:36" ht="15">
      <c r="A61" s="1541" t="s">
        <v>1126</v>
      </c>
      <c r="B61" s="416"/>
      <c r="C61" s="881">
        <f>+'Exhibit F'!D58+'Exhibit G state'!D44</f>
        <v>1.2</v>
      </c>
      <c r="D61" s="881"/>
      <c r="E61" s="881"/>
      <c r="F61" s="881"/>
      <c r="G61" s="881"/>
      <c r="H61" s="881"/>
      <c r="I61" s="881"/>
      <c r="J61" s="881"/>
      <c r="K61" s="881"/>
      <c r="L61" s="881"/>
      <c r="M61" s="881"/>
      <c r="N61" s="881"/>
      <c r="O61" s="881"/>
      <c r="P61" s="881"/>
      <c r="Q61" s="881"/>
      <c r="R61" s="881"/>
      <c r="S61" s="881"/>
      <c r="T61" s="881"/>
      <c r="U61" s="881"/>
      <c r="V61" s="881"/>
      <c r="W61" s="881"/>
      <c r="X61" s="881"/>
      <c r="Y61" s="881"/>
      <c r="Z61" s="881"/>
      <c r="AA61" s="882"/>
      <c r="AB61" s="881">
        <f>ROUND(SUM(C61:Y61),1)</f>
        <v>1.2</v>
      </c>
      <c r="AC61" s="881"/>
      <c r="AD61" s="883"/>
      <c r="AE61" s="881">
        <f>+'Exhibit F'!AF58+'Exhibit G state'!AG44</f>
        <v>0.7</v>
      </c>
      <c r="AF61" s="893"/>
      <c r="AG61" s="893"/>
      <c r="AH61" s="881">
        <f t="shared" ref="AH61:AH100" si="9">ROUND(SUM(AB61-AE61),1)</f>
        <v>0.5</v>
      </c>
      <c r="AI61" s="416"/>
      <c r="AJ61" s="1629">
        <f>ROUND(SUM(AH61/ABS(AE61)),3)</f>
        <v>0.71399999999999997</v>
      </c>
    </row>
    <row r="62" spans="1:36" ht="15">
      <c r="A62" s="1541" t="s">
        <v>1127</v>
      </c>
      <c r="B62" s="416"/>
      <c r="C62" s="881">
        <f>+'Exhibit F'!D59</f>
        <v>0.9</v>
      </c>
      <c r="D62" s="881"/>
      <c r="E62" s="881"/>
      <c r="F62" s="881"/>
      <c r="G62" s="881"/>
      <c r="H62" s="881"/>
      <c r="I62" s="881"/>
      <c r="J62" s="881"/>
      <c r="K62" s="881"/>
      <c r="L62" s="881"/>
      <c r="M62" s="881"/>
      <c r="N62" s="881"/>
      <c r="O62" s="881"/>
      <c r="P62" s="881"/>
      <c r="Q62" s="881"/>
      <c r="R62" s="881"/>
      <c r="S62" s="881"/>
      <c r="T62" s="881"/>
      <c r="U62" s="881"/>
      <c r="V62" s="881"/>
      <c r="W62" s="881"/>
      <c r="X62" s="881"/>
      <c r="Y62" s="881"/>
      <c r="Z62" s="881"/>
      <c r="AA62" s="882"/>
      <c r="AB62" s="881">
        <f>ROUND(SUM(C62:Y62),1)</f>
        <v>0.9</v>
      </c>
      <c r="AC62" s="881"/>
      <c r="AD62" s="883"/>
      <c r="AE62" s="881">
        <f>+'Exhibit F'!AF59</f>
        <v>0.3</v>
      </c>
      <c r="AF62" s="893"/>
      <c r="AG62" s="893"/>
      <c r="AH62" s="881">
        <f t="shared" si="9"/>
        <v>0.6</v>
      </c>
      <c r="AI62" s="416"/>
      <c r="AJ62" s="1629">
        <f>ROUND(SUM(AH62/ABS(AE62)),3)</f>
        <v>2</v>
      </c>
    </row>
    <row r="63" spans="1:36" ht="15">
      <c r="A63" s="1541" t="s">
        <v>1254</v>
      </c>
      <c r="B63" s="416"/>
      <c r="C63" s="881"/>
      <c r="D63" s="881"/>
      <c r="E63" s="881"/>
      <c r="F63" s="881"/>
      <c r="G63" s="881"/>
      <c r="H63" s="881"/>
      <c r="I63" s="881"/>
      <c r="J63" s="881"/>
      <c r="K63" s="881"/>
      <c r="L63" s="881"/>
      <c r="M63" s="881"/>
      <c r="N63" s="881"/>
      <c r="O63" s="881"/>
      <c r="P63" s="881"/>
      <c r="Q63" s="881"/>
      <c r="R63" s="881"/>
      <c r="S63" s="881"/>
      <c r="T63" s="881"/>
      <c r="U63" s="881"/>
      <c r="V63" s="881"/>
      <c r="W63" s="881"/>
      <c r="X63" s="881"/>
      <c r="Y63" s="881"/>
      <c r="Z63" s="881"/>
      <c r="AA63" s="882"/>
      <c r="AB63" s="881"/>
      <c r="AC63" s="881"/>
      <c r="AD63" s="883"/>
      <c r="AE63" s="881"/>
      <c r="AF63" s="893"/>
      <c r="AG63" s="893"/>
      <c r="AH63" s="881" t="s">
        <v>15</v>
      </c>
      <c r="AI63" s="416" t="s">
        <v>15</v>
      </c>
      <c r="AJ63" s="1565" t="s">
        <v>15</v>
      </c>
    </row>
    <row r="64" spans="1:36" ht="15">
      <c r="A64" s="1541" t="s">
        <v>1131</v>
      </c>
      <c r="B64" s="416"/>
      <c r="C64" s="881">
        <f>+'Exhibit F'!D61+'Exhibit G state'!D46</f>
        <v>83.4</v>
      </c>
      <c r="D64" s="881"/>
      <c r="E64" s="881"/>
      <c r="F64" s="881"/>
      <c r="G64" s="881"/>
      <c r="H64" s="881"/>
      <c r="I64" s="881"/>
      <c r="J64" s="881"/>
      <c r="K64" s="881"/>
      <c r="L64" s="881"/>
      <c r="M64" s="881"/>
      <c r="N64" s="881"/>
      <c r="O64" s="881"/>
      <c r="P64" s="881"/>
      <c r="Q64" s="881"/>
      <c r="R64" s="881"/>
      <c r="S64" s="881"/>
      <c r="T64" s="881"/>
      <c r="U64" s="881"/>
      <c r="V64" s="881"/>
      <c r="W64" s="881"/>
      <c r="X64" s="881"/>
      <c r="Y64" s="881"/>
      <c r="Z64" s="881"/>
      <c r="AA64" s="882"/>
      <c r="AB64" s="881">
        <f>ROUND(SUM(C64:Y64),1)</f>
        <v>83.4</v>
      </c>
      <c r="AC64" s="881"/>
      <c r="AD64" s="883"/>
      <c r="AE64" s="881">
        <f>+'Exhibit F'!AF61+'Exhibit G state'!AG46</f>
        <v>14.4</v>
      </c>
      <c r="AF64" s="893"/>
      <c r="AG64" s="893"/>
      <c r="AH64" s="881">
        <f t="shared" si="9"/>
        <v>69</v>
      </c>
      <c r="AI64" s="416"/>
      <c r="AJ64" s="1629">
        <f>ROUND(SUM(AH64/ABS(AE64)),3)</f>
        <v>4.7919999999999998</v>
      </c>
    </row>
    <row r="65" spans="1:36" ht="15">
      <c r="A65" s="1541" t="s">
        <v>1132</v>
      </c>
      <c r="B65" s="416"/>
      <c r="C65" s="881">
        <f>+'Exhibit F'!D62+'Exhibit G state'!D47</f>
        <v>525.79999999999995</v>
      </c>
      <c r="D65" s="881"/>
      <c r="E65" s="881"/>
      <c r="F65" s="881"/>
      <c r="G65" s="881"/>
      <c r="H65" s="881"/>
      <c r="I65" s="881"/>
      <c r="J65" s="881"/>
      <c r="K65" s="881"/>
      <c r="L65" s="881"/>
      <c r="M65" s="881"/>
      <c r="N65" s="881"/>
      <c r="O65" s="881"/>
      <c r="P65" s="881"/>
      <c r="Q65" s="881"/>
      <c r="R65" s="881"/>
      <c r="S65" s="881"/>
      <c r="T65" s="881"/>
      <c r="U65" s="881"/>
      <c r="V65" s="881"/>
      <c r="W65" s="881"/>
      <c r="X65" s="881"/>
      <c r="Y65" s="881"/>
      <c r="Z65" s="881"/>
      <c r="AA65" s="882"/>
      <c r="AB65" s="881">
        <f>ROUND(SUM(C65:Y65),1)</f>
        <v>525.79999999999995</v>
      </c>
      <c r="AC65" s="881"/>
      <c r="AD65" s="883"/>
      <c r="AE65" s="881">
        <f>+'Exhibit F'!AF62+'Exhibit G state'!AG47+'Exhibit H'!AD29</f>
        <v>462.2</v>
      </c>
      <c r="AF65" s="893"/>
      <c r="AG65" s="893"/>
      <c r="AH65" s="881">
        <f t="shared" si="9"/>
        <v>63.6</v>
      </c>
      <c r="AI65" s="416"/>
      <c r="AJ65" s="1629">
        <f>ROUND(SUM(AH65/ABS(AE65)),3)</f>
        <v>0.13800000000000001</v>
      </c>
    </row>
    <row r="66" spans="1:36" ht="15">
      <c r="A66" s="1541" t="s">
        <v>1133</v>
      </c>
      <c r="B66" s="416"/>
      <c r="C66" s="881">
        <f>+'Exhibit F'!D63+'Exhibit G state'!D48</f>
        <v>1.8</v>
      </c>
      <c r="D66" s="881"/>
      <c r="E66" s="881"/>
      <c r="F66" s="881"/>
      <c r="G66" s="881"/>
      <c r="H66" s="881"/>
      <c r="I66" s="881"/>
      <c r="J66" s="881"/>
      <c r="K66" s="881"/>
      <c r="L66" s="881"/>
      <c r="M66" s="881"/>
      <c r="N66" s="881"/>
      <c r="O66" s="881"/>
      <c r="P66" s="881"/>
      <c r="Q66" s="881"/>
      <c r="R66" s="881"/>
      <c r="S66" s="881"/>
      <c r="T66" s="881"/>
      <c r="U66" s="881"/>
      <c r="V66" s="881"/>
      <c r="W66" s="881"/>
      <c r="X66" s="881"/>
      <c r="Y66" s="881"/>
      <c r="Z66" s="881"/>
      <c r="AA66" s="882"/>
      <c r="AB66" s="881">
        <f>ROUND(SUM(C66:Y66),1)</f>
        <v>1.8</v>
      </c>
      <c r="AC66" s="881"/>
      <c r="AD66" s="883"/>
      <c r="AE66" s="881">
        <f>+'Exhibit F'!AF63+'Exhibit G state'!AG48</f>
        <v>1.4</v>
      </c>
      <c r="AF66" s="893"/>
      <c r="AG66" s="893"/>
      <c r="AH66" s="881">
        <f t="shared" si="9"/>
        <v>0.4</v>
      </c>
      <c r="AI66" s="416"/>
      <c r="AJ66" s="1565">
        <f>ROUND(IF(AE66=0,0,AH66/ABS(AE66)),3)</f>
        <v>0.28599999999999998</v>
      </c>
    </row>
    <row r="67" spans="1:36" ht="15">
      <c r="A67" s="1541" t="s">
        <v>1134</v>
      </c>
      <c r="B67" s="416"/>
      <c r="C67" s="881">
        <f>+'Exhibit F'!D64+'Exhibit G state'!D49</f>
        <v>0</v>
      </c>
      <c r="D67" s="881"/>
      <c r="E67" s="881"/>
      <c r="F67" s="881"/>
      <c r="G67" s="881"/>
      <c r="H67" s="881"/>
      <c r="I67" s="881"/>
      <c r="J67" s="881"/>
      <c r="K67" s="881"/>
      <c r="L67" s="881"/>
      <c r="M67" s="881"/>
      <c r="N67" s="881"/>
      <c r="O67" s="881"/>
      <c r="P67" s="881"/>
      <c r="Q67" s="881"/>
      <c r="R67" s="881"/>
      <c r="S67" s="881"/>
      <c r="T67" s="881"/>
      <c r="U67" s="881"/>
      <c r="V67" s="881"/>
      <c r="W67" s="881"/>
      <c r="X67" s="881"/>
      <c r="Y67" s="881"/>
      <c r="Z67" s="881"/>
      <c r="AA67" s="882"/>
      <c r="AB67" s="881">
        <f>ROUND(SUM(C67:Y67),1)</f>
        <v>0</v>
      </c>
      <c r="AC67" s="881"/>
      <c r="AD67" s="883"/>
      <c r="AE67" s="881">
        <f>+'Exhibit F'!AF64+'Exhibit G state'!AG49</f>
        <v>0.9</v>
      </c>
      <c r="AF67" s="893"/>
      <c r="AG67" s="893"/>
      <c r="AH67" s="881">
        <f t="shared" si="9"/>
        <v>-0.9</v>
      </c>
      <c r="AI67" s="416"/>
      <c r="AJ67" s="1629">
        <f>ROUND(SUM(AH67/ABS(AE67)),3)</f>
        <v>-1</v>
      </c>
    </row>
    <row r="68" spans="1:36" ht="15">
      <c r="A68" s="1541" t="s">
        <v>1259</v>
      </c>
      <c r="B68" s="416"/>
      <c r="C68" s="881"/>
      <c r="D68" s="881"/>
      <c r="E68" s="881"/>
      <c r="F68" s="881"/>
      <c r="G68" s="881"/>
      <c r="H68" s="881"/>
      <c r="I68" s="881"/>
      <c r="J68" s="881"/>
      <c r="K68" s="881"/>
      <c r="L68" s="881"/>
      <c r="M68" s="881"/>
      <c r="N68" s="881"/>
      <c r="O68" s="881"/>
      <c r="P68" s="881"/>
      <c r="Q68" s="881"/>
      <c r="R68" s="881"/>
      <c r="S68" s="881"/>
      <c r="T68" s="881"/>
      <c r="U68" s="881"/>
      <c r="V68" s="881"/>
      <c r="W68" s="881"/>
      <c r="X68" s="881"/>
      <c r="Y68" s="881"/>
      <c r="Z68" s="881"/>
      <c r="AA68" s="882"/>
      <c r="AB68" s="881"/>
      <c r="AC68" s="881"/>
      <c r="AD68" s="883"/>
      <c r="AE68" s="881"/>
      <c r="AF68" s="893"/>
      <c r="AG68" s="893"/>
      <c r="AH68" s="881"/>
      <c r="AI68" s="416"/>
      <c r="AJ68" s="1565"/>
    </row>
    <row r="69" spans="1:36" ht="15">
      <c r="A69" s="1541" t="s">
        <v>1135</v>
      </c>
      <c r="B69" s="416"/>
      <c r="C69" s="881">
        <f>+'Exhibit F'!D66+'Exhibit H'!B31</f>
        <v>5.7</v>
      </c>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2"/>
      <c r="AB69" s="881">
        <f t="shared" ref="AB69:AB76" si="10">ROUND(SUM(C69:Y69),1)</f>
        <v>5.7</v>
      </c>
      <c r="AC69" s="881"/>
      <c r="AD69" s="883"/>
      <c r="AE69" s="881">
        <f>+'Exhibit F'!AF66+'Exhibit H'!AD31</f>
        <v>6.1</v>
      </c>
      <c r="AF69" s="893"/>
      <c r="AG69" s="893"/>
      <c r="AH69" s="881">
        <f t="shared" si="9"/>
        <v>-0.4</v>
      </c>
      <c r="AI69" s="416"/>
      <c r="AJ69" s="1629">
        <f>ROUND(SUM(AH69/ABS(AE69)),3)</f>
        <v>-6.6000000000000003E-2</v>
      </c>
    </row>
    <row r="70" spans="1:36" ht="15">
      <c r="A70" s="1541" t="s">
        <v>1368</v>
      </c>
      <c r="B70" s="2504"/>
      <c r="C70" s="881">
        <f>'Exhibit G state'!D51</f>
        <v>0</v>
      </c>
      <c r="D70" s="881" t="s">
        <v>15</v>
      </c>
      <c r="E70" s="881"/>
      <c r="F70" s="881"/>
      <c r="G70" s="881"/>
      <c r="H70" s="881"/>
      <c r="I70" s="881"/>
      <c r="J70" s="881"/>
      <c r="K70" s="881"/>
      <c r="L70" s="881"/>
      <c r="M70" s="881"/>
      <c r="N70" s="881"/>
      <c r="O70" s="881"/>
      <c r="P70" s="881"/>
      <c r="Q70" s="881"/>
      <c r="R70" s="881"/>
      <c r="S70" s="881"/>
      <c r="T70" s="881"/>
      <c r="U70" s="881"/>
      <c r="V70" s="881"/>
      <c r="W70" s="881"/>
      <c r="X70" s="881"/>
      <c r="Y70" s="881"/>
      <c r="Z70" s="881"/>
      <c r="AA70" s="1628"/>
      <c r="AB70" s="881">
        <f t="shared" si="10"/>
        <v>0</v>
      </c>
      <c r="AC70" s="881"/>
      <c r="AD70" s="883"/>
      <c r="AE70" s="881">
        <f>'Exhibit G state'!AG51</f>
        <v>0</v>
      </c>
      <c r="AF70" s="893"/>
      <c r="AG70" s="893"/>
      <c r="AH70" s="881">
        <f t="shared" si="9"/>
        <v>0</v>
      </c>
      <c r="AI70" s="2504"/>
      <c r="AJ70" s="2324">
        <f>ROUND(IF(AE70=0,0,AH70/ABS(AE70)),3)</f>
        <v>0</v>
      </c>
    </row>
    <row r="71" spans="1:36" ht="15">
      <c r="A71" s="1541" t="s">
        <v>1136</v>
      </c>
      <c r="B71" s="416"/>
      <c r="C71" s="881">
        <f>+'Exhibit F'!D68+'Exhibit G state'!D52+'Exhibit H'!B32</f>
        <v>50.3</v>
      </c>
      <c r="D71" s="881"/>
      <c r="E71" s="881"/>
      <c r="F71" s="881"/>
      <c r="G71" s="881"/>
      <c r="H71" s="881"/>
      <c r="I71" s="881"/>
      <c r="J71" s="881"/>
      <c r="K71" s="881"/>
      <c r="L71" s="881"/>
      <c r="M71" s="881"/>
      <c r="N71" s="881"/>
      <c r="O71" s="881"/>
      <c r="P71" s="881"/>
      <c r="Q71" s="881"/>
      <c r="R71" s="881"/>
      <c r="S71" s="881"/>
      <c r="T71" s="881"/>
      <c r="U71" s="881"/>
      <c r="V71" s="881"/>
      <c r="W71" s="881"/>
      <c r="X71" s="881"/>
      <c r="Y71" s="881"/>
      <c r="Z71" s="881"/>
      <c r="AA71" s="882"/>
      <c r="AB71" s="881">
        <f t="shared" si="10"/>
        <v>50.3</v>
      </c>
      <c r="AC71" s="881"/>
      <c r="AD71" s="883"/>
      <c r="AE71" s="881">
        <f>+'Exhibit F'!AF68+'Exhibit G state'!AG52+'Exhibit H'!AD32</f>
        <v>47.8</v>
      </c>
      <c r="AF71" s="893"/>
      <c r="AG71" s="893"/>
      <c r="AH71" s="881">
        <f t="shared" si="9"/>
        <v>2.5</v>
      </c>
      <c r="AI71" s="416"/>
      <c r="AJ71" s="1629">
        <f>ROUND(SUM(AH71/AE71),3)</f>
        <v>5.1999999999999998E-2</v>
      </c>
    </row>
    <row r="72" spans="1:36" ht="15">
      <c r="A72" s="1541" t="s">
        <v>1137</v>
      </c>
      <c r="B72" s="416"/>
      <c r="C72" s="881">
        <f>+'Exhibit F'!D69+'Exhibit G state'!D53+'Exhibit H'!B33</f>
        <v>28.4</v>
      </c>
      <c r="D72" s="881"/>
      <c r="E72" s="881"/>
      <c r="F72" s="881"/>
      <c r="G72" s="881"/>
      <c r="H72" s="881"/>
      <c r="I72" s="881"/>
      <c r="J72" s="881"/>
      <c r="K72" s="881"/>
      <c r="L72" s="881"/>
      <c r="M72" s="881"/>
      <c r="N72" s="881"/>
      <c r="O72" s="881"/>
      <c r="P72" s="881"/>
      <c r="Q72" s="881"/>
      <c r="R72" s="881"/>
      <c r="S72" s="881"/>
      <c r="T72" s="881"/>
      <c r="U72" s="881"/>
      <c r="V72" s="881"/>
      <c r="W72" s="881"/>
      <c r="X72" s="881"/>
      <c r="Y72" s="881"/>
      <c r="Z72" s="881"/>
      <c r="AA72" s="882"/>
      <c r="AB72" s="881">
        <f t="shared" si="10"/>
        <v>28.4</v>
      </c>
      <c r="AC72" s="881"/>
      <c r="AD72" s="883"/>
      <c r="AE72" s="881">
        <f>+'Exhibit F'!AF69+'Exhibit G state'!AG53+'Exhibit H'!AD33</f>
        <v>22.299999999999997</v>
      </c>
      <c r="AF72" s="893"/>
      <c r="AG72" s="893"/>
      <c r="AH72" s="881">
        <f t="shared" si="9"/>
        <v>6.1</v>
      </c>
      <c r="AI72" s="416"/>
      <c r="AJ72" s="1629">
        <f>ROUND(SUM(AH72/ABS(AE72)),3)</f>
        <v>0.27400000000000002</v>
      </c>
    </row>
    <row r="73" spans="1:36" ht="15">
      <c r="A73" s="1541" t="s">
        <v>1138</v>
      </c>
      <c r="B73" s="416"/>
      <c r="C73" s="881">
        <f>+'Exhibit F'!D70+'Exhibit G state'!D54+'Exhibit H'!B34</f>
        <v>0.4</v>
      </c>
      <c r="D73" s="881"/>
      <c r="E73" s="881"/>
      <c r="F73" s="881"/>
      <c r="G73" s="881"/>
      <c r="H73" s="881"/>
      <c r="I73" s="881"/>
      <c r="J73" s="881"/>
      <c r="K73" s="881"/>
      <c r="L73" s="881"/>
      <c r="M73" s="881"/>
      <c r="N73" s="881"/>
      <c r="O73" s="881"/>
      <c r="P73" s="881"/>
      <c r="Q73" s="881"/>
      <c r="R73" s="881"/>
      <c r="S73" s="881"/>
      <c r="T73" s="881"/>
      <c r="U73" s="881"/>
      <c r="V73" s="881"/>
      <c r="W73" s="881"/>
      <c r="X73" s="881"/>
      <c r="Y73" s="881"/>
      <c r="Z73" s="881"/>
      <c r="AA73" s="882"/>
      <c r="AB73" s="881">
        <f t="shared" si="10"/>
        <v>0.4</v>
      </c>
      <c r="AC73" s="881"/>
      <c r="AD73" s="883"/>
      <c r="AE73" s="881">
        <f>+'Exhibit F'!AF70+'Exhibit G state'!AG54+'Exhibit H'!AD34</f>
        <v>0.2</v>
      </c>
      <c r="AF73" s="893"/>
      <c r="AG73" s="893"/>
      <c r="AH73" s="881">
        <f t="shared" si="9"/>
        <v>0.2</v>
      </c>
      <c r="AI73" s="416"/>
      <c r="AJ73" s="1629">
        <f>ROUND(SUM(AH73/ABS(AE73)),3)</f>
        <v>1</v>
      </c>
    </row>
    <row r="74" spans="1:36" ht="15">
      <c r="A74" s="1541" t="s">
        <v>1139</v>
      </c>
      <c r="B74" s="416"/>
      <c r="C74" s="881">
        <f>+'Exhibit F'!D71+'Exhibit G state'!D55+'Exhibit H'!B35</f>
        <v>74.7</v>
      </c>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882"/>
      <c r="AB74" s="881">
        <f t="shared" si="10"/>
        <v>74.7</v>
      </c>
      <c r="AC74" s="881"/>
      <c r="AD74" s="883"/>
      <c r="AE74" s="881">
        <f>+'Exhibit F'!AF71+'Exhibit G state'!AG55+'Exhibit H'!AD35</f>
        <v>78.599999999999994</v>
      </c>
      <c r="AF74" s="893"/>
      <c r="AG74" s="893"/>
      <c r="AH74" s="881">
        <f t="shared" si="9"/>
        <v>-3.9</v>
      </c>
      <c r="AI74" s="416"/>
      <c r="AJ74" s="1565">
        <f>ROUND(IF(AE74=0,0,AH74/ABS(AE74)),3)</f>
        <v>-0.05</v>
      </c>
    </row>
    <row r="75" spans="1:36" ht="15">
      <c r="A75" s="1541" t="s">
        <v>1140</v>
      </c>
      <c r="B75" s="416"/>
      <c r="C75" s="881">
        <f>+'Exhibit F'!D72+'Exhibit G state'!D56+'Exhibit H'!B36</f>
        <v>44.300000000000004</v>
      </c>
      <c r="D75" s="881"/>
      <c r="E75" s="881"/>
      <c r="F75" s="881"/>
      <c r="G75" s="881"/>
      <c r="H75" s="881"/>
      <c r="I75" s="881"/>
      <c r="J75" s="881"/>
      <c r="K75" s="881"/>
      <c r="L75" s="881"/>
      <c r="M75" s="881"/>
      <c r="N75" s="881"/>
      <c r="O75" s="881"/>
      <c r="P75" s="881"/>
      <c r="Q75" s="881"/>
      <c r="R75" s="881"/>
      <c r="S75" s="881"/>
      <c r="T75" s="881"/>
      <c r="U75" s="881"/>
      <c r="V75" s="881"/>
      <c r="W75" s="881"/>
      <c r="X75" s="881"/>
      <c r="Y75" s="881"/>
      <c r="Z75" s="881"/>
      <c r="AA75" s="882"/>
      <c r="AB75" s="881">
        <f t="shared" si="10"/>
        <v>44.3</v>
      </c>
      <c r="AC75" s="881"/>
      <c r="AD75" s="883"/>
      <c r="AE75" s="881">
        <f>+'Exhibit F'!AF72+'Exhibit G state'!AG56+'Exhibit H'!AD36</f>
        <v>43.6</v>
      </c>
      <c r="AF75" s="893"/>
      <c r="AG75" s="893"/>
      <c r="AH75" s="881">
        <f t="shared" si="9"/>
        <v>0.7</v>
      </c>
      <c r="AI75" s="416"/>
      <c r="AJ75" s="1629">
        <f>ROUND(SUM(AH75/ABS(AE75)),3)</f>
        <v>1.6E-2</v>
      </c>
    </row>
    <row r="76" spans="1:36" ht="15">
      <c r="A76" s="1541" t="s">
        <v>1129</v>
      </c>
      <c r="B76" s="416"/>
      <c r="C76" s="881">
        <f>+'Exhibit F'!D73+'Exhibit G state'!D57</f>
        <v>66.2</v>
      </c>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2"/>
      <c r="AB76" s="881">
        <f t="shared" si="10"/>
        <v>66.2</v>
      </c>
      <c r="AC76" s="881"/>
      <c r="AD76" s="883"/>
      <c r="AE76" s="881">
        <f>+'Exhibit F'!AF73+'Exhibit G state'!AG57</f>
        <v>13.1</v>
      </c>
      <c r="AF76" s="893"/>
      <c r="AG76" s="893"/>
      <c r="AH76" s="881">
        <f t="shared" si="9"/>
        <v>53.1</v>
      </c>
      <c r="AI76" s="416"/>
      <c r="AJ76" s="1629">
        <f>ROUND(SUM(AH76/ABS(AE76)),3)</f>
        <v>4.0529999999999999</v>
      </c>
    </row>
    <row r="77" spans="1:36" ht="15">
      <c r="A77" s="1541" t="s">
        <v>1256</v>
      </c>
      <c r="B77" s="416"/>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2"/>
      <c r="AB77" s="881"/>
      <c r="AC77" s="881"/>
      <c r="AD77" s="883"/>
      <c r="AE77" s="881"/>
      <c r="AF77" s="893"/>
      <c r="AG77" s="893"/>
      <c r="AH77" s="881"/>
      <c r="AI77" s="416"/>
      <c r="AJ77" s="1629" t="s">
        <v>15</v>
      </c>
    </row>
    <row r="78" spans="1:36" ht="15">
      <c r="A78" s="1541" t="s">
        <v>1141</v>
      </c>
      <c r="B78" s="416"/>
      <c r="C78" s="881">
        <f>+'Exhibit G state'!D59</f>
        <v>28.2</v>
      </c>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2"/>
      <c r="AB78" s="881">
        <f>ROUND(SUM(C78:Y78),1)</f>
        <v>28.2</v>
      </c>
      <c r="AC78" s="881"/>
      <c r="AD78" s="883"/>
      <c r="AE78" s="881">
        <f>+'Exhibit G state'!AG59</f>
        <v>22.7</v>
      </c>
      <c r="AF78" s="893"/>
      <c r="AG78" s="893"/>
      <c r="AH78" s="881">
        <f t="shared" si="9"/>
        <v>5.5</v>
      </c>
      <c r="AI78" s="416"/>
      <c r="AJ78" s="2284">
        <f>ROUND(SUM(AH78/ABS(AE78)),3)</f>
        <v>0.24199999999999999</v>
      </c>
    </row>
    <row r="79" spans="1:36" ht="15">
      <c r="A79" s="1541" t="s">
        <v>1142</v>
      </c>
      <c r="B79" s="416"/>
      <c r="C79" s="881">
        <f>+'Exhibit G state'!D60</f>
        <v>199</v>
      </c>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2"/>
      <c r="AB79" s="881">
        <f>ROUND(SUM(C79:Y79),1)</f>
        <v>199</v>
      </c>
      <c r="AC79" s="881"/>
      <c r="AD79" s="883"/>
      <c r="AE79" s="881">
        <f>+'Exhibit G state'!AG60</f>
        <v>190.4</v>
      </c>
      <c r="AF79" s="893"/>
      <c r="AG79" s="893"/>
      <c r="AH79" s="881">
        <f t="shared" si="9"/>
        <v>8.6</v>
      </c>
      <c r="AI79" s="416"/>
      <c r="AJ79" s="2284">
        <f>ROUND(SUM(AH79/ABS(AE79)),3)</f>
        <v>4.4999999999999998E-2</v>
      </c>
    </row>
    <row r="80" spans="1:36" ht="15">
      <c r="A80" s="1541" t="s">
        <v>1143</v>
      </c>
      <c r="B80" s="416"/>
      <c r="C80" s="881">
        <f>+'Exhibit G state'!D61</f>
        <v>75.099999999999994</v>
      </c>
      <c r="D80" s="881"/>
      <c r="E80" s="881"/>
      <c r="F80" s="881"/>
      <c r="G80" s="881"/>
      <c r="H80" s="881"/>
      <c r="I80" s="881"/>
      <c r="J80" s="881"/>
      <c r="K80" s="881"/>
      <c r="L80" s="881"/>
      <c r="M80" s="881"/>
      <c r="N80" s="881"/>
      <c r="O80" s="881"/>
      <c r="P80" s="881"/>
      <c r="Q80" s="881"/>
      <c r="R80" s="881"/>
      <c r="S80" s="881"/>
      <c r="T80" s="881"/>
      <c r="U80" s="881"/>
      <c r="V80" s="881"/>
      <c r="W80" s="881"/>
      <c r="X80" s="881"/>
      <c r="Y80" s="881"/>
      <c r="Z80" s="881"/>
      <c r="AA80" s="882"/>
      <c r="AB80" s="881">
        <f>ROUND(SUM(C80:Y80),1)</f>
        <v>75.099999999999994</v>
      </c>
      <c r="AC80" s="881"/>
      <c r="AD80" s="883"/>
      <c r="AE80" s="881">
        <f>+'Exhibit G state'!AG61</f>
        <v>72.5</v>
      </c>
      <c r="AF80" s="893"/>
      <c r="AG80" s="893"/>
      <c r="AH80" s="881">
        <f t="shared" si="9"/>
        <v>2.6</v>
      </c>
      <c r="AI80" s="416"/>
      <c r="AJ80" s="2284">
        <f>ROUND(SUM(AH80/ABS(AE80)),3)</f>
        <v>3.5999999999999997E-2</v>
      </c>
    </row>
    <row r="81" spans="1:36" ht="15">
      <c r="A81" s="1541" t="s">
        <v>1130</v>
      </c>
      <c r="B81" s="416"/>
      <c r="C81" s="881">
        <f>+'Exhibit F'!D74+'Exhibit H'!B37+'Exhibit G state'!D62</f>
        <v>27.4</v>
      </c>
      <c r="D81" s="881"/>
      <c r="E81" s="881"/>
      <c r="F81" s="881"/>
      <c r="G81" s="881"/>
      <c r="H81" s="881"/>
      <c r="I81" s="881"/>
      <c r="J81" s="881"/>
      <c r="K81" s="881"/>
      <c r="L81" s="881"/>
      <c r="M81" s="881"/>
      <c r="N81" s="881"/>
      <c r="O81" s="881"/>
      <c r="P81" s="881"/>
      <c r="Q81" s="881"/>
      <c r="R81" s="881"/>
      <c r="S81" s="881"/>
      <c r="T81" s="881"/>
      <c r="U81" s="881"/>
      <c r="V81" s="881"/>
      <c r="W81" s="881"/>
      <c r="X81" s="881"/>
      <c r="Y81" s="881"/>
      <c r="Z81" s="881"/>
      <c r="AA81" s="882"/>
      <c r="AB81" s="881">
        <f>ROUND(SUM(C81:Y81),1)</f>
        <v>27.4</v>
      </c>
      <c r="AC81" s="881"/>
      <c r="AD81" s="883"/>
      <c r="AE81" s="881">
        <f>+'Exhibit F'!AF74+'Exhibit H'!AD37+'Exhibit G state'!AG62</f>
        <v>9.3000000000000007</v>
      </c>
      <c r="AF81" s="893"/>
      <c r="AG81" s="893"/>
      <c r="AH81" s="881">
        <f t="shared" si="9"/>
        <v>18.100000000000001</v>
      </c>
      <c r="AI81" s="416"/>
      <c r="AJ81" s="2284">
        <f>ROUND(SUM(AH81/ABS(AE81)),3)</f>
        <v>1.946</v>
      </c>
    </row>
    <row r="82" spans="1:36" ht="15">
      <c r="A82" s="1541" t="s">
        <v>1257</v>
      </c>
      <c r="B82" s="416"/>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c r="AA82" s="882"/>
      <c r="AB82" s="881"/>
      <c r="AC82" s="881"/>
      <c r="AD82" s="883"/>
      <c r="AE82" s="881"/>
      <c r="AF82" s="893"/>
      <c r="AG82" s="893"/>
      <c r="AH82" s="881"/>
      <c r="AI82" s="416"/>
      <c r="AJ82" s="1565"/>
    </row>
    <row r="83" spans="1:36" ht="15">
      <c r="A83" s="1541" t="s">
        <v>1144</v>
      </c>
      <c r="B83" s="416"/>
      <c r="C83" s="881">
        <f>+'Exhibit G state'!D64</f>
        <v>0</v>
      </c>
      <c r="D83" s="881"/>
      <c r="E83" s="881"/>
      <c r="F83" s="881"/>
      <c r="G83" s="881"/>
      <c r="H83" s="881"/>
      <c r="I83" s="881"/>
      <c r="J83" s="881"/>
      <c r="K83" s="881"/>
      <c r="L83" s="881"/>
      <c r="M83" s="881"/>
      <c r="N83" s="881"/>
      <c r="O83" s="881"/>
      <c r="P83" s="881"/>
      <c r="Q83" s="881"/>
      <c r="R83" s="881"/>
      <c r="S83" s="881"/>
      <c r="T83" s="881"/>
      <c r="U83" s="881"/>
      <c r="V83" s="881"/>
      <c r="W83" s="881"/>
      <c r="X83" s="881"/>
      <c r="Y83" s="881"/>
      <c r="Z83" s="881"/>
      <c r="AA83" s="882"/>
      <c r="AB83" s="881">
        <f t="shared" ref="AB83:AB88" si="11">ROUND(SUM(C83:Y83),1)</f>
        <v>0</v>
      </c>
      <c r="AC83" s="881"/>
      <c r="AD83" s="883"/>
      <c r="AE83" s="881">
        <f>+'Exhibit G state'!AG64</f>
        <v>0</v>
      </c>
      <c r="AF83" s="893"/>
      <c r="AG83" s="893"/>
      <c r="AH83" s="881">
        <f t="shared" si="9"/>
        <v>0</v>
      </c>
      <c r="AI83" s="416"/>
      <c r="AJ83" s="1565">
        <f>ROUND(IF(AE83=0,0,AH83/ABS(AE83)),3)</f>
        <v>0</v>
      </c>
    </row>
    <row r="84" spans="1:36" ht="15">
      <c r="A84" s="1541" t="s">
        <v>1145</v>
      </c>
      <c r="B84" s="416"/>
      <c r="C84" s="881">
        <f>+'Exhibit F'!D76+'Exhibit G state'!D65</f>
        <v>2.6</v>
      </c>
      <c r="D84" s="881"/>
      <c r="E84" s="881"/>
      <c r="F84" s="881"/>
      <c r="G84" s="881"/>
      <c r="H84" s="881"/>
      <c r="I84" s="881"/>
      <c r="J84" s="881"/>
      <c r="K84" s="881"/>
      <c r="L84" s="881"/>
      <c r="M84" s="881"/>
      <c r="N84" s="881"/>
      <c r="O84" s="881"/>
      <c r="P84" s="881"/>
      <c r="Q84" s="881"/>
      <c r="R84" s="881"/>
      <c r="S84" s="881"/>
      <c r="T84" s="881"/>
      <c r="U84" s="881"/>
      <c r="V84" s="881"/>
      <c r="W84" s="881"/>
      <c r="X84" s="881"/>
      <c r="Y84" s="881"/>
      <c r="Z84" s="881"/>
      <c r="AA84" s="882"/>
      <c r="AB84" s="881">
        <f t="shared" si="11"/>
        <v>2.6</v>
      </c>
      <c r="AC84" s="881"/>
      <c r="AD84" s="883"/>
      <c r="AE84" s="881">
        <f>+'Exhibit F'!AF76+'Exhibit G state'!AG65</f>
        <v>0</v>
      </c>
      <c r="AF84" s="893"/>
      <c r="AG84" s="893"/>
      <c r="AH84" s="881">
        <f t="shared" si="9"/>
        <v>2.6</v>
      </c>
      <c r="AI84" s="416"/>
      <c r="AJ84" s="2316">
        <f>ROUND(IF(AE84=0,1,AH84/ABS(AE84)),3)</f>
        <v>1</v>
      </c>
    </row>
    <row r="85" spans="1:36" ht="15">
      <c r="A85" s="1541" t="s">
        <v>1146</v>
      </c>
      <c r="B85" s="416"/>
      <c r="C85" s="881">
        <f>+'Exhibit F'!D77+'Exhibit G state'!D66</f>
        <v>11.9</v>
      </c>
      <c r="D85" s="881"/>
      <c r="E85" s="881"/>
      <c r="F85" s="881"/>
      <c r="G85" s="881"/>
      <c r="H85" s="881"/>
      <c r="I85" s="881"/>
      <c r="J85" s="881"/>
      <c r="K85" s="881"/>
      <c r="L85" s="881"/>
      <c r="M85" s="881"/>
      <c r="N85" s="881"/>
      <c r="O85" s="881"/>
      <c r="P85" s="881"/>
      <c r="Q85" s="881"/>
      <c r="R85" s="881"/>
      <c r="S85" s="881"/>
      <c r="T85" s="881"/>
      <c r="U85" s="881"/>
      <c r="V85" s="881"/>
      <c r="W85" s="881"/>
      <c r="X85" s="881"/>
      <c r="Y85" s="881"/>
      <c r="Z85" s="881"/>
      <c r="AA85" s="882"/>
      <c r="AB85" s="881">
        <f t="shared" si="11"/>
        <v>11.9</v>
      </c>
      <c r="AC85" s="881"/>
      <c r="AD85" s="883"/>
      <c r="AE85" s="881">
        <f>+'Exhibit F'!AF77+'Exhibit G state'!AG66</f>
        <v>3</v>
      </c>
      <c r="AF85" s="893"/>
      <c r="AG85" s="893"/>
      <c r="AH85" s="881">
        <f t="shared" si="9"/>
        <v>8.9</v>
      </c>
      <c r="AI85" s="416"/>
      <c r="AJ85" s="2284">
        <f>ROUND(SUM(AH85/ABS(AE85)),3)</f>
        <v>2.9670000000000001</v>
      </c>
    </row>
    <row r="86" spans="1:36" ht="15">
      <c r="A86" s="1541" t="s">
        <v>1147</v>
      </c>
      <c r="B86" s="416"/>
      <c r="C86" s="881">
        <f>+'Exhibit F'!D78+'Exhibit G state'!D67</f>
        <v>5</v>
      </c>
      <c r="D86" s="881"/>
      <c r="E86" s="881"/>
      <c r="F86" s="881"/>
      <c r="G86" s="881"/>
      <c r="H86" s="881"/>
      <c r="I86" s="881"/>
      <c r="J86" s="881"/>
      <c r="K86" s="881"/>
      <c r="L86" s="881"/>
      <c r="M86" s="881"/>
      <c r="N86" s="881"/>
      <c r="O86" s="881"/>
      <c r="P86" s="881"/>
      <c r="Q86" s="881"/>
      <c r="R86" s="881"/>
      <c r="S86" s="881"/>
      <c r="T86" s="881"/>
      <c r="U86" s="881"/>
      <c r="V86" s="881"/>
      <c r="W86" s="881"/>
      <c r="X86" s="881"/>
      <c r="Y86" s="881"/>
      <c r="Z86" s="881"/>
      <c r="AA86" s="882"/>
      <c r="AB86" s="881">
        <f t="shared" si="11"/>
        <v>5</v>
      </c>
      <c r="AC86" s="881"/>
      <c r="AD86" s="883"/>
      <c r="AE86" s="881">
        <f>+'Exhibit F'!AF78+'Exhibit G state'!AG67</f>
        <v>7.7</v>
      </c>
      <c r="AF86" s="893"/>
      <c r="AG86" s="893"/>
      <c r="AH86" s="881">
        <f t="shared" si="9"/>
        <v>-2.7</v>
      </c>
      <c r="AI86" s="416"/>
      <c r="AJ86" s="2284">
        <f>ROUND(SUM(AH86/ABS(AE86)),3)</f>
        <v>-0.35099999999999998</v>
      </c>
    </row>
    <row r="87" spans="1:36" ht="15">
      <c r="A87" s="1541" t="s">
        <v>1148</v>
      </c>
      <c r="B87" s="416"/>
      <c r="C87" s="881">
        <f>+'Exhibit F'!D79+'Exhibit H'!B38+'Exhibit G state'!D68</f>
        <v>20.799999999999997</v>
      </c>
      <c r="D87" s="881"/>
      <c r="E87" s="881"/>
      <c r="F87" s="881"/>
      <c r="G87" s="881"/>
      <c r="H87" s="881"/>
      <c r="I87" s="881"/>
      <c r="J87" s="881"/>
      <c r="K87" s="881"/>
      <c r="L87" s="881"/>
      <c r="M87" s="881"/>
      <c r="N87" s="881"/>
      <c r="O87" s="881"/>
      <c r="P87" s="881"/>
      <c r="Q87" s="881"/>
      <c r="R87" s="881"/>
      <c r="S87" s="881"/>
      <c r="T87" s="881"/>
      <c r="U87" s="881"/>
      <c r="V87" s="881"/>
      <c r="W87" s="881"/>
      <c r="X87" s="881"/>
      <c r="Y87" s="881"/>
      <c r="Z87" s="881"/>
      <c r="AA87" s="882"/>
      <c r="AB87" s="881">
        <f t="shared" si="11"/>
        <v>20.8</v>
      </c>
      <c r="AC87" s="881"/>
      <c r="AD87" s="883"/>
      <c r="AE87" s="881">
        <f>+'Exhibit F'!AF79+'Exhibit H'!AD38+'Exhibit G state'!AG68</f>
        <v>22</v>
      </c>
      <c r="AF87" s="893"/>
      <c r="AG87" s="893"/>
      <c r="AH87" s="881">
        <f t="shared" si="9"/>
        <v>-1.2</v>
      </c>
      <c r="AI87" s="416"/>
      <c r="AJ87" s="2284">
        <f>ROUND(SUM(AH87/ABS(AE87)),3)</f>
        <v>-5.5E-2</v>
      </c>
    </row>
    <row r="88" spans="1:36" ht="15">
      <c r="A88" s="1541" t="s">
        <v>1149</v>
      </c>
      <c r="B88" s="416"/>
      <c r="C88" s="881">
        <f>+'Exhibit F'!D80+'Exhibit H'!B39+'Exhibit G state'!D69</f>
        <v>38.900000000000006</v>
      </c>
      <c r="D88" s="881"/>
      <c r="E88" s="881"/>
      <c r="F88" s="881"/>
      <c r="G88" s="881"/>
      <c r="H88" s="881"/>
      <c r="I88" s="881"/>
      <c r="J88" s="881"/>
      <c r="K88" s="881"/>
      <c r="L88" s="881"/>
      <c r="M88" s="881"/>
      <c r="N88" s="881"/>
      <c r="O88" s="881"/>
      <c r="P88" s="881"/>
      <c r="Q88" s="881"/>
      <c r="R88" s="881"/>
      <c r="S88" s="881"/>
      <c r="T88" s="881"/>
      <c r="U88" s="881"/>
      <c r="V88" s="881"/>
      <c r="W88" s="881"/>
      <c r="X88" s="881"/>
      <c r="Y88" s="881"/>
      <c r="Z88" s="881"/>
      <c r="AA88" s="882"/>
      <c r="AB88" s="881">
        <f t="shared" si="11"/>
        <v>38.9</v>
      </c>
      <c r="AC88" s="881"/>
      <c r="AD88" s="883"/>
      <c r="AE88" s="881">
        <f>+'Exhibit F'!AF80+'Exhibit H'!AD39+'Exhibit G state'!AG69</f>
        <v>45.4</v>
      </c>
      <c r="AF88" s="893"/>
      <c r="AG88" s="893"/>
      <c r="AH88" s="881">
        <f t="shared" si="9"/>
        <v>-6.5</v>
      </c>
      <c r="AI88" s="416"/>
      <c r="AJ88" s="2284">
        <f>ROUND(SUM(AH88/ABS(AE88)),3)</f>
        <v>-0.14299999999999999</v>
      </c>
    </row>
    <row r="89" spans="1:36" ht="15">
      <c r="A89" s="1541" t="s">
        <v>1258</v>
      </c>
      <c r="B89" s="416"/>
      <c r="C89" s="881"/>
      <c r="D89" s="881"/>
      <c r="E89" s="881"/>
      <c r="F89" s="881"/>
      <c r="G89" s="881"/>
      <c r="H89" s="881"/>
      <c r="I89" s="881"/>
      <c r="J89" s="881"/>
      <c r="K89" s="881"/>
      <c r="L89" s="881"/>
      <c r="M89" s="881"/>
      <c r="N89" s="881"/>
      <c r="O89" s="881"/>
      <c r="P89" s="881"/>
      <c r="Q89" s="881"/>
      <c r="R89" s="881"/>
      <c r="S89" s="881"/>
      <c r="T89" s="881"/>
      <c r="U89" s="881"/>
      <c r="V89" s="881"/>
      <c r="W89" s="881"/>
      <c r="X89" s="881"/>
      <c r="Y89" s="881"/>
      <c r="Z89" s="881"/>
      <c r="AA89" s="882"/>
      <c r="AB89" s="881"/>
      <c r="AC89" s="881"/>
      <c r="AD89" s="883"/>
      <c r="AE89" s="881"/>
      <c r="AF89" s="893"/>
      <c r="AG89" s="893"/>
      <c r="AH89" s="881"/>
      <c r="AI89" s="416"/>
      <c r="AJ89" s="1565"/>
    </row>
    <row r="90" spans="1:36" ht="15">
      <c r="A90" s="1541" t="s">
        <v>1150</v>
      </c>
      <c r="B90" s="416"/>
      <c r="C90" s="881">
        <f>+'Exhibit F'!D82+'Exhibit G state'!D71</f>
        <v>15.200000000000001</v>
      </c>
      <c r="D90" s="881"/>
      <c r="E90" s="881"/>
      <c r="F90" s="881"/>
      <c r="G90" s="881"/>
      <c r="H90" s="881"/>
      <c r="I90" s="881"/>
      <c r="J90" s="881"/>
      <c r="K90" s="881"/>
      <c r="L90" s="881"/>
      <c r="M90" s="881"/>
      <c r="N90" s="881"/>
      <c r="O90" s="881"/>
      <c r="P90" s="881"/>
      <c r="Q90" s="881"/>
      <c r="R90" s="881"/>
      <c r="S90" s="881"/>
      <c r="T90" s="881"/>
      <c r="U90" s="881"/>
      <c r="V90" s="881"/>
      <c r="W90" s="881"/>
      <c r="X90" s="881"/>
      <c r="Y90" s="881"/>
      <c r="Z90" s="881"/>
      <c r="AA90" s="882"/>
      <c r="AB90" s="881">
        <f t="shared" ref="AB90:AB100" si="12">ROUND(SUM(C90:Y90),1)</f>
        <v>15.2</v>
      </c>
      <c r="AC90" s="881"/>
      <c r="AD90" s="883"/>
      <c r="AE90" s="881">
        <f>+'Exhibit F'!AF82+'Exhibit G state'!AG71</f>
        <v>12.4</v>
      </c>
      <c r="AF90" s="893"/>
      <c r="AG90" s="893"/>
      <c r="AH90" s="881">
        <f t="shared" si="9"/>
        <v>2.8</v>
      </c>
      <c r="AI90" s="416"/>
      <c r="AJ90" s="1629">
        <f>ROUND(SUM(AH90/ABS(AE90)),3)</f>
        <v>0.22600000000000001</v>
      </c>
    </row>
    <row r="91" spans="1:36" ht="15">
      <c r="A91" s="1541" t="s">
        <v>1151</v>
      </c>
      <c r="B91" s="416"/>
      <c r="C91" s="881">
        <f>+'Exhibit G state'!D72</f>
        <v>0.4</v>
      </c>
      <c r="D91" s="881"/>
      <c r="E91" s="881"/>
      <c r="F91" s="881"/>
      <c r="G91" s="881"/>
      <c r="H91" s="881"/>
      <c r="I91" s="881"/>
      <c r="J91" s="881"/>
      <c r="K91" s="881"/>
      <c r="L91" s="881"/>
      <c r="M91" s="881"/>
      <c r="N91" s="881"/>
      <c r="O91" s="881"/>
      <c r="P91" s="881"/>
      <c r="Q91" s="881"/>
      <c r="R91" s="881"/>
      <c r="S91" s="881"/>
      <c r="T91" s="881"/>
      <c r="U91" s="881"/>
      <c r="V91" s="881"/>
      <c r="W91" s="881"/>
      <c r="X91" s="881"/>
      <c r="Y91" s="881"/>
      <c r="Z91" s="881"/>
      <c r="AA91" s="882"/>
      <c r="AB91" s="881">
        <f t="shared" si="12"/>
        <v>0.4</v>
      </c>
      <c r="AC91" s="881"/>
      <c r="AD91" s="883"/>
      <c r="AE91" s="881">
        <f>+'Exhibit G state'!AG72+'Exhibit F'!AF83</f>
        <v>0</v>
      </c>
      <c r="AF91" s="893"/>
      <c r="AG91" s="893"/>
      <c r="AH91" s="881">
        <f t="shared" si="9"/>
        <v>0.4</v>
      </c>
      <c r="AI91" s="416"/>
      <c r="AJ91" s="2324">
        <f>ROUND(IF(AE91=0,1,AH91/ABS(AE91)),3)</f>
        <v>1</v>
      </c>
    </row>
    <row r="92" spans="1:36" ht="15">
      <c r="A92" s="1541" t="s">
        <v>1152</v>
      </c>
      <c r="B92" s="416"/>
      <c r="C92" s="881">
        <f>+'Exhibit F'!D84+'Exhibit G state'!D73</f>
        <v>1.5</v>
      </c>
      <c r="D92" s="881"/>
      <c r="E92" s="881"/>
      <c r="F92" s="881"/>
      <c r="G92" s="881"/>
      <c r="H92" s="881"/>
      <c r="I92" s="881"/>
      <c r="J92" s="881"/>
      <c r="K92" s="881"/>
      <c r="L92" s="881"/>
      <c r="M92" s="881"/>
      <c r="N92" s="881"/>
      <c r="O92" s="881"/>
      <c r="P92" s="881"/>
      <c r="Q92" s="881"/>
      <c r="R92" s="881"/>
      <c r="S92" s="881"/>
      <c r="T92" s="881"/>
      <c r="U92" s="881"/>
      <c r="V92" s="881"/>
      <c r="W92" s="881"/>
      <c r="X92" s="881"/>
      <c r="Y92" s="881"/>
      <c r="Z92" s="881"/>
      <c r="AA92" s="882"/>
      <c r="AB92" s="881">
        <f t="shared" si="12"/>
        <v>1.5</v>
      </c>
      <c r="AC92" s="881"/>
      <c r="AD92" s="883"/>
      <c r="AE92" s="881">
        <f>+'Exhibit F'!AF84+'Exhibit G state'!AG73</f>
        <v>1.2000000000000002</v>
      </c>
      <c r="AF92" s="893"/>
      <c r="AG92" s="893"/>
      <c r="AH92" s="881">
        <f t="shared" si="9"/>
        <v>0.3</v>
      </c>
      <c r="AI92" s="416"/>
      <c r="AJ92" s="1629">
        <f t="shared" ref="AJ92:AJ99" si="13">ROUND(SUM(AH92/ABS(AE92)),3)</f>
        <v>0.25</v>
      </c>
    </row>
    <row r="93" spans="1:36" ht="15">
      <c r="A93" s="1541" t="s">
        <v>1153</v>
      </c>
      <c r="B93" s="416"/>
      <c r="C93" s="881">
        <f>+'Exhibit F'!D85+'Exhibit G state'!D74</f>
        <v>1</v>
      </c>
      <c r="D93" s="881"/>
      <c r="E93" s="881"/>
      <c r="F93" s="881"/>
      <c r="G93" s="881"/>
      <c r="H93" s="881"/>
      <c r="I93" s="881"/>
      <c r="J93" s="881"/>
      <c r="K93" s="881"/>
      <c r="L93" s="881"/>
      <c r="M93" s="881"/>
      <c r="N93" s="881"/>
      <c r="O93" s="881"/>
      <c r="P93" s="881"/>
      <c r="Q93" s="881"/>
      <c r="R93" s="881"/>
      <c r="S93" s="881"/>
      <c r="T93" s="881"/>
      <c r="U93" s="881"/>
      <c r="V93" s="881"/>
      <c r="W93" s="881"/>
      <c r="X93" s="881"/>
      <c r="Y93" s="881"/>
      <c r="Z93" s="881"/>
      <c r="AA93" s="882"/>
      <c r="AB93" s="881">
        <f t="shared" si="12"/>
        <v>1</v>
      </c>
      <c r="AC93" s="881"/>
      <c r="AD93" s="883"/>
      <c r="AE93" s="881">
        <f>+'Exhibit F'!AF85+'Exhibit G state'!AG74</f>
        <v>0.9</v>
      </c>
      <c r="AF93" s="893"/>
      <c r="AG93" s="893"/>
      <c r="AH93" s="881">
        <f t="shared" si="9"/>
        <v>0.1</v>
      </c>
      <c r="AI93" s="416"/>
      <c r="AJ93" s="1629">
        <f t="shared" si="13"/>
        <v>0.111</v>
      </c>
    </row>
    <row r="94" spans="1:36" ht="15">
      <c r="A94" s="1541" t="s">
        <v>1154</v>
      </c>
      <c r="B94" s="416"/>
      <c r="C94" s="881">
        <f>+'Exhibit H'!B41+'Exhibit G state'!D75+'Exhibit F'!D86</f>
        <v>230.4</v>
      </c>
      <c r="D94" s="881"/>
      <c r="E94" s="881"/>
      <c r="F94" s="881"/>
      <c r="G94" s="881"/>
      <c r="H94" s="881"/>
      <c r="I94" s="881"/>
      <c r="J94" s="881"/>
      <c r="K94" s="881"/>
      <c r="L94" s="881"/>
      <c r="M94" s="881"/>
      <c r="N94" s="881"/>
      <c r="O94" s="881"/>
      <c r="P94" s="881"/>
      <c r="Q94" s="881"/>
      <c r="R94" s="881"/>
      <c r="S94" s="881"/>
      <c r="T94" s="881"/>
      <c r="U94" s="881"/>
      <c r="V94" s="881"/>
      <c r="W94" s="881"/>
      <c r="X94" s="881"/>
      <c r="Y94" s="881"/>
      <c r="Z94" s="881"/>
      <c r="AA94" s="882"/>
      <c r="AB94" s="881">
        <f t="shared" si="12"/>
        <v>230.4</v>
      </c>
      <c r="AC94" s="881"/>
      <c r="AD94" s="883"/>
      <c r="AE94" s="881">
        <f>+'Exhibit H'!AD41+'Exhibit G state'!AG75</f>
        <v>195.7</v>
      </c>
      <c r="AF94" s="893"/>
      <c r="AG94" s="893"/>
      <c r="AH94" s="881">
        <f t="shared" si="9"/>
        <v>34.700000000000003</v>
      </c>
      <c r="AI94" s="416"/>
      <c r="AJ94" s="1629">
        <f t="shared" si="13"/>
        <v>0.17699999999999999</v>
      </c>
    </row>
    <row r="95" spans="1:36" ht="15">
      <c r="A95" s="1541" t="s">
        <v>1155</v>
      </c>
      <c r="B95" s="416"/>
      <c r="C95" s="881">
        <f>+'Exhibit G state'!D76+'Exhibit F'!D87</f>
        <v>4.5</v>
      </c>
      <c r="D95" s="881"/>
      <c r="E95" s="881"/>
      <c r="F95" s="881"/>
      <c r="G95" s="881"/>
      <c r="H95" s="881"/>
      <c r="I95" s="881"/>
      <c r="J95" s="881"/>
      <c r="K95" s="881"/>
      <c r="L95" s="881"/>
      <c r="M95" s="881"/>
      <c r="N95" s="881"/>
      <c r="O95" s="881"/>
      <c r="P95" s="881"/>
      <c r="Q95" s="881"/>
      <c r="R95" s="881"/>
      <c r="S95" s="881"/>
      <c r="T95" s="881"/>
      <c r="U95" s="881"/>
      <c r="V95" s="881"/>
      <c r="W95" s="881"/>
      <c r="X95" s="881"/>
      <c r="Y95" s="881"/>
      <c r="Z95" s="881"/>
      <c r="AA95" s="882"/>
      <c r="AB95" s="881">
        <f t="shared" si="12"/>
        <v>4.5</v>
      </c>
      <c r="AC95" s="881"/>
      <c r="AD95" s="883"/>
      <c r="AE95" s="881">
        <f>+'Exhibit G state'!AG76+'Exhibit F'!AF87</f>
        <v>3.4</v>
      </c>
      <c r="AF95" s="893"/>
      <c r="AG95" s="893"/>
      <c r="AH95" s="881">
        <f t="shared" si="9"/>
        <v>1.1000000000000001</v>
      </c>
      <c r="AI95" s="416"/>
      <c r="AJ95" s="1629">
        <f t="shared" si="13"/>
        <v>0.32400000000000001</v>
      </c>
    </row>
    <row r="96" spans="1:36" ht="15">
      <c r="A96" s="1541" t="s">
        <v>1156</v>
      </c>
      <c r="B96" s="416"/>
      <c r="C96" s="881">
        <f>+'Exhibit F'!D88+'Exhibit G state'!D77</f>
        <v>152.6</v>
      </c>
      <c r="D96" s="881"/>
      <c r="E96" s="881"/>
      <c r="F96" s="881"/>
      <c r="G96" s="881"/>
      <c r="H96" s="881"/>
      <c r="I96" s="881"/>
      <c r="J96" s="881"/>
      <c r="K96" s="881"/>
      <c r="L96" s="881"/>
      <c r="M96" s="881"/>
      <c r="N96" s="881"/>
      <c r="O96" s="881"/>
      <c r="P96" s="881"/>
      <c r="Q96" s="881"/>
      <c r="R96" s="881"/>
      <c r="S96" s="881"/>
      <c r="T96" s="881"/>
      <c r="U96" s="881"/>
      <c r="V96" s="881"/>
      <c r="W96" s="881"/>
      <c r="X96" s="881"/>
      <c r="Y96" s="881"/>
      <c r="Z96" s="881"/>
      <c r="AA96" s="882"/>
      <c r="AB96" s="881">
        <f t="shared" si="12"/>
        <v>152.6</v>
      </c>
      <c r="AC96" s="881"/>
      <c r="AD96" s="883"/>
      <c r="AE96" s="881">
        <f>+'Exhibit F'!AF88+'Exhibit G state'!AG77</f>
        <v>5.3999999999999995</v>
      </c>
      <c r="AF96" s="893"/>
      <c r="AG96" s="893"/>
      <c r="AH96" s="881">
        <f t="shared" si="9"/>
        <v>147.19999999999999</v>
      </c>
      <c r="AI96" s="416"/>
      <c r="AJ96" s="2284">
        <f t="shared" si="13"/>
        <v>27.259</v>
      </c>
    </row>
    <row r="97" spans="1:45" ht="15">
      <c r="A97" s="1541" t="s">
        <v>1157</v>
      </c>
      <c r="B97" s="416"/>
      <c r="C97" s="881">
        <f>+'Exhibit F'!D89+'Exhibit G state'!D78</f>
        <v>4.9000000000000004</v>
      </c>
      <c r="D97" s="881"/>
      <c r="E97" s="881"/>
      <c r="F97" s="881"/>
      <c r="G97" s="881"/>
      <c r="H97" s="881"/>
      <c r="I97" s="881"/>
      <c r="J97" s="881"/>
      <c r="K97" s="881"/>
      <c r="L97" s="881"/>
      <c r="M97" s="881"/>
      <c r="N97" s="881"/>
      <c r="O97" s="881"/>
      <c r="P97" s="881"/>
      <c r="Q97" s="881"/>
      <c r="R97" s="881"/>
      <c r="S97" s="881"/>
      <c r="T97" s="881"/>
      <c r="U97" s="881"/>
      <c r="V97" s="881"/>
      <c r="W97" s="881"/>
      <c r="X97" s="881"/>
      <c r="Y97" s="881"/>
      <c r="Z97" s="881"/>
      <c r="AA97" s="882"/>
      <c r="AB97" s="881">
        <f t="shared" si="12"/>
        <v>4.9000000000000004</v>
      </c>
      <c r="AC97" s="881"/>
      <c r="AD97" s="883"/>
      <c r="AE97" s="881">
        <f>+'Exhibit F'!AF89+'Exhibit G state'!AG78</f>
        <v>8.1</v>
      </c>
      <c r="AF97" s="893"/>
      <c r="AG97" s="893"/>
      <c r="AH97" s="881">
        <f t="shared" si="9"/>
        <v>-3.2</v>
      </c>
      <c r="AI97" s="416"/>
      <c r="AJ97" s="1629">
        <f t="shared" si="13"/>
        <v>-0.39500000000000002</v>
      </c>
    </row>
    <row r="98" spans="1:45" ht="15">
      <c r="A98" s="1541" t="s">
        <v>1158</v>
      </c>
      <c r="B98" s="416"/>
      <c r="C98" s="881">
        <f>+'Exhibit F'!D90+'Exhibit G state'!D79+'Exhibit H'!B42</f>
        <v>44.9</v>
      </c>
      <c r="D98" s="881"/>
      <c r="E98" s="881"/>
      <c r="F98" s="881"/>
      <c r="G98" s="881"/>
      <c r="H98" s="881"/>
      <c r="I98" s="881"/>
      <c r="J98" s="881"/>
      <c r="K98" s="881"/>
      <c r="L98" s="881"/>
      <c r="M98" s="881"/>
      <c r="N98" s="881"/>
      <c r="O98" s="881"/>
      <c r="P98" s="881"/>
      <c r="Q98" s="881"/>
      <c r="R98" s="881"/>
      <c r="S98" s="881"/>
      <c r="T98" s="881"/>
      <c r="U98" s="881"/>
      <c r="V98" s="881"/>
      <c r="W98" s="881"/>
      <c r="X98" s="881"/>
      <c r="Y98" s="881"/>
      <c r="Z98" s="881"/>
      <c r="AA98" s="882"/>
      <c r="AB98" s="881">
        <f t="shared" si="12"/>
        <v>44.9</v>
      </c>
      <c r="AC98" s="881"/>
      <c r="AD98" s="883"/>
      <c r="AE98" s="881">
        <f>+'Exhibit F'!AF90+'Exhibit G state'!AG79+'Exhibit H'!AD42</f>
        <v>51.3</v>
      </c>
      <c r="AF98" s="893"/>
      <c r="AG98" s="893"/>
      <c r="AH98" s="881">
        <f t="shared" si="9"/>
        <v>-6.4</v>
      </c>
      <c r="AI98" s="416"/>
      <c r="AJ98" s="1629">
        <f t="shared" si="13"/>
        <v>-0.125</v>
      </c>
    </row>
    <row r="99" spans="1:45" ht="15">
      <c r="A99" s="1541" t="s">
        <v>1159</v>
      </c>
      <c r="B99" s="416"/>
      <c r="C99" s="881">
        <f>+'Exhibit F'!D91+'Exhibit G state'!D80</f>
        <v>2.5</v>
      </c>
      <c r="D99" s="881"/>
      <c r="E99" s="881"/>
      <c r="F99" s="881"/>
      <c r="G99" s="881"/>
      <c r="H99" s="881"/>
      <c r="I99" s="881"/>
      <c r="J99" s="881"/>
      <c r="K99" s="881"/>
      <c r="L99" s="881"/>
      <c r="M99" s="881"/>
      <c r="N99" s="881"/>
      <c r="O99" s="881"/>
      <c r="P99" s="881"/>
      <c r="Q99" s="881"/>
      <c r="R99" s="881"/>
      <c r="S99" s="881"/>
      <c r="T99" s="881"/>
      <c r="U99" s="881"/>
      <c r="V99" s="881"/>
      <c r="W99" s="881"/>
      <c r="X99" s="881"/>
      <c r="Y99" s="881"/>
      <c r="Z99" s="881"/>
      <c r="AA99" s="882"/>
      <c r="AB99" s="881">
        <f t="shared" si="12"/>
        <v>2.5</v>
      </c>
      <c r="AC99" s="881"/>
      <c r="AD99" s="883"/>
      <c r="AE99" s="881">
        <f>+'Exhibit F'!AF91+'Exhibit G state'!AG80+'Exhibit H'!AD43</f>
        <v>0.4</v>
      </c>
      <c r="AF99" s="893"/>
      <c r="AG99" s="893"/>
      <c r="AH99" s="881">
        <f t="shared" si="9"/>
        <v>2.1</v>
      </c>
      <c r="AI99" s="416"/>
      <c r="AJ99" s="1629">
        <f t="shared" si="13"/>
        <v>5.25</v>
      </c>
    </row>
    <row r="100" spans="1:45" ht="15">
      <c r="A100" s="1541" t="s">
        <v>1160</v>
      </c>
      <c r="B100" s="416"/>
      <c r="C100" s="881">
        <f>+'Exhibit G state'!D81</f>
        <v>37.799999999999997</v>
      </c>
      <c r="D100" s="881"/>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881"/>
      <c r="AA100" s="882"/>
      <c r="AB100" s="881">
        <f t="shared" si="12"/>
        <v>37.799999999999997</v>
      </c>
      <c r="AC100" s="881"/>
      <c r="AD100" s="883"/>
      <c r="AE100" s="881">
        <f>+'Exhibit G state'!AG81</f>
        <v>43.8</v>
      </c>
      <c r="AF100" s="893"/>
      <c r="AG100" s="893"/>
      <c r="AH100" s="881">
        <f t="shared" si="9"/>
        <v>-6</v>
      </c>
      <c r="AI100" s="416"/>
      <c r="AJ100" s="1629">
        <f>ROUND(SUM(AH100/ABS(AE100)),3)</f>
        <v>-0.13700000000000001</v>
      </c>
    </row>
    <row r="101" spans="1:45" ht="15.75">
      <c r="A101" s="555" t="s">
        <v>1195</v>
      </c>
      <c r="B101" s="399"/>
      <c r="C101" s="463">
        <f>ROUND(SUM(C61:C100),1)</f>
        <v>1787.7</v>
      </c>
      <c r="D101" s="1790"/>
      <c r="E101" s="463">
        <f>ROUND(SUM(E61:E100),1)</f>
        <v>0</v>
      </c>
      <c r="F101" s="1790"/>
      <c r="G101" s="463">
        <f>ROUND(SUM(G61:G100),1)</f>
        <v>0</v>
      </c>
      <c r="H101" s="1587"/>
      <c r="I101" s="463">
        <f>ROUND(SUM(I61:I100),1)</f>
        <v>0</v>
      </c>
      <c r="J101" s="1587"/>
      <c r="K101" s="463">
        <f>ROUND(SUM(K61:K100),1)</f>
        <v>0</v>
      </c>
      <c r="L101" s="1587"/>
      <c r="M101" s="463">
        <f>ROUND(SUM(M61:M100),1)</f>
        <v>0</v>
      </c>
      <c r="N101" s="1587"/>
      <c r="O101" s="463">
        <f>ROUND(SUM(O61:O100),1)</f>
        <v>0</v>
      </c>
      <c r="P101" s="1587"/>
      <c r="Q101" s="463">
        <f>ROUND(SUM(Q61:Q100),1)</f>
        <v>0</v>
      </c>
      <c r="R101" s="1587"/>
      <c r="S101" s="463">
        <f>ROUND(SUM(S61:S100),1)</f>
        <v>0</v>
      </c>
      <c r="T101" s="1587"/>
      <c r="U101" s="463">
        <f>ROUND(SUM(U61:U100),1)</f>
        <v>0</v>
      </c>
      <c r="V101" s="1587"/>
      <c r="W101" s="463">
        <f>ROUND(SUM(W61:W100),1)</f>
        <v>0</v>
      </c>
      <c r="X101" s="397"/>
      <c r="Y101" s="463">
        <f>ROUND(SUM(Y61:Y100),1)</f>
        <v>0</v>
      </c>
      <c r="Z101" s="397"/>
      <c r="AA101" s="464"/>
      <c r="AB101" s="463">
        <f>ROUND(SUM(AB61:AB100),1)</f>
        <v>1787.7</v>
      </c>
      <c r="AC101" s="1587"/>
      <c r="AD101" s="252"/>
      <c r="AE101" s="463">
        <f>ROUND(SUM(AE61:AE100),1)</f>
        <v>1387.2</v>
      </c>
      <c r="AF101" s="264"/>
      <c r="AG101" s="1798"/>
      <c r="AH101" s="463">
        <f>ROUND(SUM(AH61:AH100),1)</f>
        <v>400.5</v>
      </c>
      <c r="AI101" s="264"/>
      <c r="AJ101" s="1791">
        <f>ROUND(SUM(+AH101/ABS(AE101)),3)</f>
        <v>0.28899999999999998</v>
      </c>
    </row>
    <row r="102" spans="1:45" ht="15">
      <c r="A102" s="416"/>
      <c r="B102" s="416"/>
      <c r="C102" s="881"/>
      <c r="D102" s="881"/>
      <c r="E102" s="881"/>
      <c r="F102" s="881"/>
      <c r="G102" s="881"/>
      <c r="H102" s="881"/>
      <c r="I102" s="881"/>
      <c r="J102" s="881"/>
      <c r="K102" s="881"/>
      <c r="L102" s="881"/>
      <c r="M102" s="881"/>
      <c r="N102" s="881"/>
      <c r="O102" s="881"/>
      <c r="P102" s="881"/>
      <c r="Q102" s="881"/>
      <c r="R102" s="881"/>
      <c r="S102" s="881"/>
      <c r="T102" s="881"/>
      <c r="U102" s="881"/>
      <c r="V102" s="881"/>
      <c r="W102" s="881"/>
      <c r="X102" s="881"/>
      <c r="Y102" s="881"/>
      <c r="Z102" s="881"/>
      <c r="AA102" s="1628"/>
      <c r="AB102" s="881"/>
      <c r="AC102" s="893"/>
      <c r="AD102" s="882"/>
      <c r="AE102" s="881"/>
      <c r="AF102" s="893"/>
      <c r="AG102" s="893"/>
      <c r="AH102" s="881"/>
      <c r="AI102" s="416"/>
      <c r="AJ102" s="1629"/>
    </row>
    <row r="103" spans="1:45" ht="15">
      <c r="A103" s="416" t="s">
        <v>21</v>
      </c>
      <c r="B103" s="416"/>
      <c r="C103" s="886">
        <f>+'Exhibit F'!D94+'Exhibit G state'!D84+'Exhibit H'!B46</f>
        <v>-2.6</v>
      </c>
      <c r="D103" s="881"/>
      <c r="E103" s="886"/>
      <c r="F103" s="881"/>
      <c r="G103" s="886"/>
      <c r="H103" s="881"/>
      <c r="I103" s="886"/>
      <c r="J103" s="881"/>
      <c r="K103" s="886"/>
      <c r="L103" s="881"/>
      <c r="M103" s="886"/>
      <c r="N103" s="881"/>
      <c r="O103" s="886"/>
      <c r="P103" s="881"/>
      <c r="Q103" s="886"/>
      <c r="R103" s="881"/>
      <c r="S103" s="886"/>
      <c r="T103" s="881"/>
      <c r="U103" s="886"/>
      <c r="V103" s="881"/>
      <c r="W103" s="886"/>
      <c r="X103" s="881"/>
      <c r="Y103" s="886"/>
      <c r="Z103" s="881"/>
      <c r="AA103" s="882"/>
      <c r="AB103" s="886">
        <f>ROUND(SUM(C103:Y103),1)</f>
        <v>-2.6</v>
      </c>
      <c r="AC103" s="881"/>
      <c r="AD103" s="883"/>
      <c r="AE103" s="886">
        <f>'Exhibit F'!AF94+'Exhibit G state'!AG84+'Exhibit H'!AD46</f>
        <v>0</v>
      </c>
      <c r="AF103" s="893"/>
      <c r="AG103" s="893"/>
      <c r="AH103" s="886">
        <f>ROUND(SUM(AB103-AE103),1)</f>
        <v>-2.6</v>
      </c>
      <c r="AI103" s="416"/>
      <c r="AJ103" s="3702">
        <f>-ROUND(IF(AE103=0,1,AH103/ABS(AE103)),3)</f>
        <v>-1</v>
      </c>
    </row>
    <row r="104" spans="1:45" ht="15">
      <c r="A104" s="416"/>
      <c r="B104" s="416"/>
      <c r="C104" s="881"/>
      <c r="D104" s="881"/>
      <c r="E104" s="881"/>
      <c r="F104" s="881"/>
      <c r="G104" s="881"/>
      <c r="H104" s="881"/>
      <c r="I104" s="881"/>
      <c r="J104" s="881"/>
      <c r="K104" s="881"/>
      <c r="L104" s="881"/>
      <c r="M104" s="881"/>
      <c r="N104" s="881"/>
      <c r="O104" s="881"/>
      <c r="P104" s="881"/>
      <c r="Q104" s="881"/>
      <c r="R104" s="881"/>
      <c r="S104" s="881"/>
      <c r="T104" s="881"/>
      <c r="U104" s="881"/>
      <c r="V104" s="881"/>
      <c r="W104" s="881"/>
      <c r="X104" s="881"/>
      <c r="Y104" s="881"/>
      <c r="Z104" s="881"/>
      <c r="AA104" s="882"/>
      <c r="AB104" s="881"/>
      <c r="AC104" s="881"/>
      <c r="AD104" s="883"/>
      <c r="AE104" s="881"/>
      <c r="AF104" s="893"/>
      <c r="AG104" s="893"/>
      <c r="AH104" s="881"/>
      <c r="AI104" s="416"/>
      <c r="AJ104" s="887"/>
    </row>
    <row r="105" spans="1:45" ht="15.75">
      <c r="A105" s="216" t="s">
        <v>152</v>
      </c>
      <c r="B105" s="217"/>
      <c r="C105" s="1461">
        <f>ROUND(SUM(C103+C101+C57),1)</f>
        <v>9530.4</v>
      </c>
      <c r="D105" s="1587"/>
      <c r="E105" s="1461">
        <f>ROUND(SUM(E103+E101+E57),1)</f>
        <v>0</v>
      </c>
      <c r="F105" s="1587"/>
      <c r="G105" s="1461">
        <f>ROUND(SUM(G103+G101+G57),1)</f>
        <v>0</v>
      </c>
      <c r="H105" s="1587"/>
      <c r="I105" s="1461">
        <f>ROUND(SUM(I103+I101+I57),1)</f>
        <v>0</v>
      </c>
      <c r="J105" s="1587"/>
      <c r="K105" s="1461">
        <f>ROUND(SUM(K103+K101+K57),1)</f>
        <v>0</v>
      </c>
      <c r="L105" s="1587"/>
      <c r="M105" s="1461">
        <f>ROUND(SUM(M103+M101+M57),1)</f>
        <v>0</v>
      </c>
      <c r="N105" s="1587"/>
      <c r="O105" s="1461">
        <f>ROUND(SUM(O103+O101+O57),1)</f>
        <v>0</v>
      </c>
      <c r="P105" s="1587"/>
      <c r="Q105" s="1461">
        <f>ROUND(SUM(Q103+Q101+Q57),1)</f>
        <v>0</v>
      </c>
      <c r="R105" s="1587"/>
      <c r="S105" s="1461">
        <f>ROUND(SUM(S103+S101+S57),1)</f>
        <v>0</v>
      </c>
      <c r="T105" s="1587"/>
      <c r="U105" s="1461">
        <f>ROUND(SUM(U103+U101+U57),1)</f>
        <v>0</v>
      </c>
      <c r="V105" s="1587"/>
      <c r="W105" s="1461">
        <f>ROUND(SUM(W103+W101+W57),1)</f>
        <v>0</v>
      </c>
      <c r="X105" s="397"/>
      <c r="Y105" s="1461">
        <f>ROUND(SUM(Y103+Y101+Y57),1)</f>
        <v>0</v>
      </c>
      <c r="Z105" s="457"/>
      <c r="AA105" s="458"/>
      <c r="AB105" s="1461">
        <f>ROUND(SUM(AB103+AB101+AB57),1)</f>
        <v>9530.4</v>
      </c>
      <c r="AC105" s="1587"/>
      <c r="AD105" s="252"/>
      <c r="AE105" s="1461">
        <f>ROUND(SUM(AE103+AE101+AE57),1)</f>
        <v>8428.7999999999993</v>
      </c>
      <c r="AF105" s="264"/>
      <c r="AG105" s="1798"/>
      <c r="AH105" s="1461">
        <f>ROUND(SUM(AH103+AH101+AH57),1)</f>
        <v>1101.5999999999999</v>
      </c>
      <c r="AI105" s="264"/>
      <c r="AJ105" s="501">
        <f>ROUND(SUM(+AH105/ABS(AE105)),3)</f>
        <v>0.13100000000000001</v>
      </c>
      <c r="AK105" s="736"/>
      <c r="AL105" s="736"/>
      <c r="AM105" s="736"/>
      <c r="AN105" s="736"/>
      <c r="AO105" s="736"/>
      <c r="AP105" s="736"/>
      <c r="AQ105" s="736"/>
      <c r="AR105" s="736"/>
      <c r="AS105" s="736"/>
    </row>
    <row r="106" spans="1:45" ht="15.75">
      <c r="A106" s="397"/>
      <c r="B106" s="416"/>
      <c r="C106" s="892"/>
      <c r="D106" s="881"/>
      <c r="E106" s="892"/>
      <c r="F106" s="881"/>
      <c r="G106" s="892"/>
      <c r="H106" s="881"/>
      <c r="I106" s="892"/>
      <c r="J106" s="881"/>
      <c r="K106" s="892"/>
      <c r="L106" s="881"/>
      <c r="M106" s="892"/>
      <c r="N106" s="881"/>
      <c r="O106" s="892"/>
      <c r="P106" s="881"/>
      <c r="Q106" s="892"/>
      <c r="R106" s="881"/>
      <c r="S106" s="892"/>
      <c r="T106" s="881"/>
      <c r="U106" s="892"/>
      <c r="V106" s="881"/>
      <c r="W106" s="892"/>
      <c r="X106" s="881"/>
      <c r="Y106" s="892"/>
      <c r="Z106" s="881"/>
      <c r="AA106" s="882"/>
      <c r="AB106" s="892"/>
      <c r="AC106" s="881"/>
      <c r="AD106" s="883"/>
      <c r="AE106" s="892"/>
      <c r="AF106" s="893"/>
      <c r="AG106" s="893"/>
      <c r="AH106" s="1042"/>
      <c r="AI106" s="416"/>
      <c r="AJ106" s="1438"/>
    </row>
    <row r="107" spans="1:45" ht="15.75">
      <c r="A107" s="397" t="s">
        <v>23</v>
      </c>
      <c r="B107" s="416"/>
      <c r="C107" s="893"/>
      <c r="D107" s="881"/>
      <c r="E107" s="893"/>
      <c r="F107" s="881"/>
      <c r="G107" s="893"/>
      <c r="H107" s="881"/>
      <c r="I107" s="893"/>
      <c r="J107" s="881"/>
      <c r="K107" s="893"/>
      <c r="L107" s="881"/>
      <c r="M107" s="893"/>
      <c r="N107" s="881"/>
      <c r="O107" s="893"/>
      <c r="P107" s="881"/>
      <c r="Q107" s="893"/>
      <c r="R107" s="881"/>
      <c r="S107" s="893"/>
      <c r="T107" s="881"/>
      <c r="U107" s="893"/>
      <c r="V107" s="881"/>
      <c r="W107" s="893"/>
      <c r="X107" s="881"/>
      <c r="Y107" s="893"/>
      <c r="Z107" s="881"/>
      <c r="AA107" s="882"/>
      <c r="AB107" s="893"/>
      <c r="AC107" s="881"/>
      <c r="AD107" s="883"/>
      <c r="AE107" s="893"/>
      <c r="AF107" s="893"/>
      <c r="AG107" s="893"/>
      <c r="AH107" s="1042"/>
      <c r="AI107" s="416"/>
      <c r="AJ107" s="1438"/>
    </row>
    <row r="108" spans="1:45" ht="15">
      <c r="A108" s="416" t="s">
        <v>139</v>
      </c>
      <c r="B108" s="416"/>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2"/>
      <c r="AB108" s="881"/>
      <c r="AC108" s="881"/>
      <c r="AD108" s="883"/>
      <c r="AE108" s="2502"/>
      <c r="AF108" s="893"/>
      <c r="AG108" s="893"/>
      <c r="AH108" s="881"/>
      <c r="AI108" s="416"/>
      <c r="AJ108" s="1629"/>
    </row>
    <row r="109" spans="1:45" ht="15">
      <c r="A109" s="1633" t="s">
        <v>25</v>
      </c>
      <c r="B109" s="416"/>
      <c r="C109" s="881">
        <f>+'Exhibit F'!D100+'Exhibit G state'!D90</f>
        <v>1180</v>
      </c>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1"/>
      <c r="AA109" s="882"/>
      <c r="AB109" s="1042">
        <f>ROUND(SUM(C109:Y109),1)</f>
        <v>1180</v>
      </c>
      <c r="AC109" s="881"/>
      <c r="AD109" s="883"/>
      <c r="AE109" s="2502">
        <f>+'Exhibit F'!AF100+'Exhibit G state'!AG90</f>
        <v>984.1</v>
      </c>
      <c r="AF109" s="893"/>
      <c r="AG109" s="893"/>
      <c r="AH109" s="881">
        <f>ROUND(SUM(AB109-AE109),1)</f>
        <v>195.9</v>
      </c>
      <c r="AI109" s="416"/>
      <c r="AJ109" s="1629">
        <f>ROUND(SUM(AH109/ABS(AE109)),3)</f>
        <v>0.19900000000000001</v>
      </c>
    </row>
    <row r="110" spans="1:45" ht="15">
      <c r="A110" s="1633" t="s">
        <v>26</v>
      </c>
      <c r="B110" s="416"/>
      <c r="C110" s="881">
        <f>+'Exhibit F'!D101+'Exhibit G state'!D91</f>
        <v>0.4</v>
      </c>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1"/>
      <c r="AA110" s="882"/>
      <c r="AB110" s="1042">
        <f t="shared" ref="AB110:AB117" si="14">ROUND(SUM(C110:Y110),1)</f>
        <v>0.4</v>
      </c>
      <c r="AC110" s="881"/>
      <c r="AD110" s="883"/>
      <c r="AE110" s="2502">
        <f>+'Exhibit F'!AF101+'Exhibit G state'!AG91</f>
        <v>0.3</v>
      </c>
      <c r="AF110" s="893"/>
      <c r="AG110" s="893"/>
      <c r="AH110" s="881">
        <f t="shared" ref="AH110:AH117" si="15">ROUND(SUM(AB110-AE110),1)</f>
        <v>0.1</v>
      </c>
      <c r="AI110" s="416"/>
      <c r="AJ110" s="2254">
        <f>ROUND(IF(AE110=0,1,AH110/ABS(AE110)),3)</f>
        <v>0.33300000000000002</v>
      </c>
    </row>
    <row r="111" spans="1:45" ht="15">
      <c r="A111" s="1633" t="s">
        <v>27</v>
      </c>
      <c r="B111" s="416"/>
      <c r="C111" s="881">
        <f>+'Exhibit F'!D102+'Exhibit G state'!D92</f>
        <v>11.9</v>
      </c>
      <c r="D111" s="881"/>
      <c r="E111" s="881"/>
      <c r="F111" s="881"/>
      <c r="G111" s="881"/>
      <c r="H111" s="881"/>
      <c r="I111" s="881"/>
      <c r="J111" s="881"/>
      <c r="K111" s="881"/>
      <c r="L111" s="881"/>
      <c r="M111" s="881"/>
      <c r="N111" s="881"/>
      <c r="O111" s="881"/>
      <c r="P111" s="881"/>
      <c r="Q111" s="881"/>
      <c r="R111" s="881"/>
      <c r="S111" s="881"/>
      <c r="T111" s="881"/>
      <c r="U111" s="881"/>
      <c r="V111" s="881"/>
      <c r="W111" s="881"/>
      <c r="X111" s="881"/>
      <c r="Y111" s="881"/>
      <c r="Z111" s="881"/>
      <c r="AA111" s="882"/>
      <c r="AB111" s="1042">
        <f t="shared" si="14"/>
        <v>11.9</v>
      </c>
      <c r="AC111" s="881"/>
      <c r="AD111" s="883"/>
      <c r="AE111" s="2502">
        <f>+'Exhibit F'!AF102+'Exhibit G state'!AG92</f>
        <v>17</v>
      </c>
      <c r="AF111" s="893"/>
      <c r="AG111" s="893"/>
      <c r="AH111" s="881">
        <f t="shared" si="15"/>
        <v>-5.0999999999999996</v>
      </c>
      <c r="AI111" s="416"/>
      <c r="AJ111" s="1629">
        <f>ROUND(SUM(AH111/ABS(AE111)),3)</f>
        <v>-0.3</v>
      </c>
    </row>
    <row r="112" spans="1:45" ht="15">
      <c r="A112" s="1633" t="s">
        <v>28</v>
      </c>
      <c r="B112" s="416"/>
      <c r="C112" s="881"/>
      <c r="D112" s="881"/>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1"/>
      <c r="AA112" s="882"/>
      <c r="AB112" s="1042"/>
      <c r="AC112" s="881"/>
      <c r="AD112" s="883"/>
      <c r="AE112" s="1117"/>
      <c r="AF112" s="893"/>
      <c r="AG112" s="893"/>
      <c r="AH112" s="881" t="s">
        <v>15</v>
      </c>
      <c r="AI112" s="416"/>
      <c r="AJ112" s="1629"/>
    </row>
    <row r="113" spans="1:44" ht="15">
      <c r="A113" s="1634" t="s">
        <v>29</v>
      </c>
      <c r="B113" s="416"/>
      <c r="C113" s="881">
        <f>+'Exhibit F'!D104+'Exhibit G state'!D94</f>
        <v>1795.8999999999999</v>
      </c>
      <c r="D113" s="881"/>
      <c r="E113" s="881"/>
      <c r="F113" s="881"/>
      <c r="G113" s="881"/>
      <c r="H113" s="881"/>
      <c r="I113" s="881"/>
      <c r="J113" s="881"/>
      <c r="K113" s="881"/>
      <c r="L113" s="881"/>
      <c r="M113" s="881"/>
      <c r="N113" s="881"/>
      <c r="O113" s="881"/>
      <c r="P113" s="881"/>
      <c r="Q113" s="881"/>
      <c r="R113" s="881"/>
      <c r="S113" s="881"/>
      <c r="T113" s="881"/>
      <c r="U113" s="881"/>
      <c r="V113" s="881"/>
      <c r="W113" s="881"/>
      <c r="X113" s="881"/>
      <c r="Y113" s="881"/>
      <c r="Z113" s="881"/>
      <c r="AA113" s="882"/>
      <c r="AB113" s="1042">
        <f t="shared" si="14"/>
        <v>1795.9</v>
      </c>
      <c r="AC113" s="881"/>
      <c r="AD113" s="883"/>
      <c r="AE113" s="2502">
        <f>+'Exhibit F'!AF104+'Exhibit G state'!AG94</f>
        <v>1755.6000000000001</v>
      </c>
      <c r="AF113" s="893"/>
      <c r="AG113" s="893"/>
      <c r="AH113" s="881">
        <f t="shared" si="15"/>
        <v>40.299999999999997</v>
      </c>
      <c r="AI113" s="416"/>
      <c r="AJ113" s="1629">
        <f t="shared" ref="AJ113:AJ119" si="16">ROUND(SUM(AH113/ABS(AE113)),3)</f>
        <v>2.3E-2</v>
      </c>
      <c r="AK113" s="404"/>
    </row>
    <row r="114" spans="1:44" ht="15">
      <c r="A114" s="1633" t="s">
        <v>30</v>
      </c>
      <c r="B114" s="416"/>
      <c r="C114" s="881">
        <f>+'Exhibit F'!D105+'Exhibit G state'!D95</f>
        <v>258.09999999999997</v>
      </c>
      <c r="D114" s="881"/>
      <c r="E114" s="881"/>
      <c r="F114" s="881"/>
      <c r="G114" s="881"/>
      <c r="H114" s="881"/>
      <c r="I114" s="881"/>
      <c r="J114" s="881"/>
      <c r="K114" s="881"/>
      <c r="L114" s="881"/>
      <c r="M114" s="881"/>
      <c r="N114" s="881"/>
      <c r="O114" s="881"/>
      <c r="P114" s="881"/>
      <c r="Q114" s="881"/>
      <c r="R114" s="881"/>
      <c r="S114" s="881"/>
      <c r="T114" s="881"/>
      <c r="U114" s="881"/>
      <c r="V114" s="881"/>
      <c r="W114" s="881"/>
      <c r="X114" s="881"/>
      <c r="Y114" s="881"/>
      <c r="Z114" s="881"/>
      <c r="AA114" s="882"/>
      <c r="AB114" s="1042">
        <f t="shared" si="14"/>
        <v>258.10000000000002</v>
      </c>
      <c r="AC114" s="1630"/>
      <c r="AD114" s="881"/>
      <c r="AE114" s="2502">
        <f>+'Exhibit F'!AF105+'Exhibit G state'!AG95</f>
        <v>153.30000000000001</v>
      </c>
      <c r="AF114" s="893"/>
      <c r="AG114" s="893"/>
      <c r="AH114" s="881">
        <f t="shared" si="15"/>
        <v>104.8</v>
      </c>
      <c r="AI114" s="416"/>
      <c r="AJ114" s="1629">
        <f t="shared" si="16"/>
        <v>0.68400000000000005</v>
      </c>
    </row>
    <row r="115" spans="1:44" ht="15">
      <c r="A115" s="1633" t="s">
        <v>31</v>
      </c>
      <c r="B115" s="416"/>
      <c r="C115" s="881">
        <f>+'Exhibit F'!D106+'Exhibit G state'!D96</f>
        <v>25.1</v>
      </c>
      <c r="D115" s="881"/>
      <c r="E115" s="881"/>
      <c r="F115" s="881"/>
      <c r="G115" s="881"/>
      <c r="H115" s="881"/>
      <c r="I115" s="881"/>
      <c r="J115" s="881"/>
      <c r="K115" s="881"/>
      <c r="L115" s="881"/>
      <c r="M115" s="881"/>
      <c r="N115" s="881"/>
      <c r="O115" s="881"/>
      <c r="P115" s="881"/>
      <c r="Q115" s="881"/>
      <c r="R115" s="881"/>
      <c r="S115" s="881"/>
      <c r="T115" s="881"/>
      <c r="U115" s="881"/>
      <c r="V115" s="881"/>
      <c r="W115" s="881"/>
      <c r="X115" s="881"/>
      <c r="Y115" s="881"/>
      <c r="Z115" s="881"/>
      <c r="AA115" s="882"/>
      <c r="AB115" s="1042">
        <f t="shared" si="14"/>
        <v>25.1</v>
      </c>
      <c r="AC115" s="1635"/>
      <c r="AD115" s="883"/>
      <c r="AE115" s="2502">
        <f>+'Exhibit F'!AF106+'Exhibit G state'!AG96</f>
        <v>17.2</v>
      </c>
      <c r="AF115" s="893"/>
      <c r="AG115" s="893"/>
      <c r="AH115" s="881">
        <f t="shared" si="15"/>
        <v>7.9</v>
      </c>
      <c r="AI115" s="416"/>
      <c r="AJ115" s="1629">
        <f t="shared" si="16"/>
        <v>0.45900000000000002</v>
      </c>
    </row>
    <row r="116" spans="1:44" ht="15">
      <c r="A116" s="1633" t="s">
        <v>32</v>
      </c>
      <c r="B116" s="416"/>
      <c r="C116" s="881">
        <f>+'Exhibit F'!D107+'Exhibit G state'!D97</f>
        <v>81.3</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1"/>
      <c r="AA116" s="882"/>
      <c r="AB116" s="1042">
        <f t="shared" si="14"/>
        <v>81.3</v>
      </c>
      <c r="AC116" s="1635"/>
      <c r="AD116" s="883"/>
      <c r="AE116" s="2502">
        <f>+'Exhibit F'!AF107+'Exhibit G state'!AG97</f>
        <v>131.9</v>
      </c>
      <c r="AF116" s="893"/>
      <c r="AG116" s="893"/>
      <c r="AH116" s="881">
        <f t="shared" si="15"/>
        <v>-50.6</v>
      </c>
      <c r="AI116" s="416"/>
      <c r="AJ116" s="1629">
        <f t="shared" si="16"/>
        <v>-0.38400000000000001</v>
      </c>
    </row>
    <row r="117" spans="1:44" ht="15">
      <c r="A117" s="1633" t="s">
        <v>33</v>
      </c>
      <c r="B117" s="416"/>
      <c r="C117" s="881">
        <f>+'Exhibit F'!D108+'Exhibit G state'!D98</f>
        <v>2.8000000000000003</v>
      </c>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2"/>
      <c r="AB117" s="1042">
        <f t="shared" si="14"/>
        <v>2.8</v>
      </c>
      <c r="AC117" s="1635"/>
      <c r="AD117" s="883"/>
      <c r="AE117" s="2502">
        <f>+'Exhibit F'!AF108+'Exhibit G state'!AG98</f>
        <v>10.200000000000001</v>
      </c>
      <c r="AF117" s="893"/>
      <c r="AG117" s="893"/>
      <c r="AH117" s="881">
        <f t="shared" si="15"/>
        <v>-7.4</v>
      </c>
      <c r="AI117" s="416"/>
      <c r="AJ117" s="1629">
        <f t="shared" si="16"/>
        <v>-0.72499999999999998</v>
      </c>
    </row>
    <row r="118" spans="1:44" ht="15">
      <c r="A118" s="1633" t="s">
        <v>34</v>
      </c>
      <c r="B118" s="416"/>
      <c r="C118" s="881">
        <f>+'Exhibit F'!D109+'Exhibit G state'!D99</f>
        <v>236.3</v>
      </c>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1"/>
      <c r="AA118" s="882"/>
      <c r="AB118" s="881">
        <f>ROUND(SUM(C118:Y118),1)</f>
        <v>236.3</v>
      </c>
      <c r="AC118" s="1635"/>
      <c r="AD118" s="883"/>
      <c r="AE118" s="2502">
        <f>+'Exhibit F'!AF109+'Exhibit G state'!AG99</f>
        <v>244.6</v>
      </c>
      <c r="AF118" s="893"/>
      <c r="AG118" s="893"/>
      <c r="AH118" s="881">
        <f>ROUND(SUM(AB118-AE118),1)</f>
        <v>-8.3000000000000007</v>
      </c>
      <c r="AI118" s="416"/>
      <c r="AJ118" s="1130">
        <f t="shared" si="16"/>
        <v>-3.4000000000000002E-2</v>
      </c>
    </row>
    <row r="119" spans="1:44" ht="15.75">
      <c r="A119" s="416" t="s">
        <v>35</v>
      </c>
      <c r="B119" s="416"/>
      <c r="C119" s="898">
        <f>ROUND(SUM(C109:C118),1)</f>
        <v>3591.8</v>
      </c>
      <c r="D119" s="889"/>
      <c r="E119" s="898">
        <f>ROUND(SUM(E109:E118),1)</f>
        <v>0</v>
      </c>
      <c r="F119" s="889"/>
      <c r="G119" s="898">
        <f>ROUND(SUM(G109:G118),1)</f>
        <v>0</v>
      </c>
      <c r="H119" s="889"/>
      <c r="I119" s="898">
        <f>ROUND(SUM(I109:I118),1)</f>
        <v>0</v>
      </c>
      <c r="J119" s="889"/>
      <c r="K119" s="898">
        <f>ROUND(SUM(K109:K118),1)</f>
        <v>0</v>
      </c>
      <c r="L119" s="889"/>
      <c r="M119" s="898">
        <f>ROUND(SUM(M109:M118),1)</f>
        <v>0</v>
      </c>
      <c r="N119" s="889"/>
      <c r="O119" s="898">
        <f>ROUND(SUM(O109:O118),1)</f>
        <v>0</v>
      </c>
      <c r="P119" s="889"/>
      <c r="Q119" s="898">
        <f>ROUND(SUM(Q109:Q118),1)</f>
        <v>0</v>
      </c>
      <c r="R119" s="889"/>
      <c r="S119" s="898">
        <f>ROUND(SUM(S109:S118),1)</f>
        <v>0</v>
      </c>
      <c r="T119" s="889"/>
      <c r="U119" s="898">
        <f>ROUND(SUM(U109:U118),1)</f>
        <v>0</v>
      </c>
      <c r="V119" s="889"/>
      <c r="W119" s="898">
        <f>ROUND(SUM(W109:W118),1)</f>
        <v>0</v>
      </c>
      <c r="X119" s="889"/>
      <c r="Y119" s="898">
        <f>ROUND(SUM(Y109:Y118),1)</f>
        <v>0</v>
      </c>
      <c r="Z119" s="889"/>
      <c r="AA119" s="890"/>
      <c r="AB119" s="898">
        <f>ROUND(SUM(AB109:AB118),1)</f>
        <v>3591.8</v>
      </c>
      <c r="AC119" s="1637"/>
      <c r="AD119" s="891"/>
      <c r="AE119" s="463">
        <f>ROUND(SUM(AE109:AE118),1)</f>
        <v>3314.2</v>
      </c>
      <c r="AF119" s="1797"/>
      <c r="AG119" s="1797"/>
      <c r="AH119" s="463">
        <f>ROUND(SUM(AH109:AH118),1)</f>
        <v>277.60000000000002</v>
      </c>
      <c r="AI119" s="871"/>
      <c r="AJ119" s="503">
        <f t="shared" si="16"/>
        <v>8.4000000000000005E-2</v>
      </c>
      <c r="AK119" s="736"/>
      <c r="AL119" s="736"/>
    </row>
    <row r="120" spans="1:44" ht="15">
      <c r="A120" s="416" t="s">
        <v>36</v>
      </c>
      <c r="B120" s="416"/>
      <c r="C120" s="893"/>
      <c r="D120" s="881"/>
      <c r="E120" s="893"/>
      <c r="F120" s="881"/>
      <c r="G120" s="893"/>
      <c r="H120" s="881"/>
      <c r="I120" s="893"/>
      <c r="J120" s="881"/>
      <c r="K120" s="893"/>
      <c r="L120" s="881"/>
      <c r="M120" s="893"/>
      <c r="N120" s="881"/>
      <c r="O120" s="893"/>
      <c r="P120" s="881"/>
      <c r="Q120" s="893"/>
      <c r="R120" s="881"/>
      <c r="S120" s="893"/>
      <c r="T120" s="881"/>
      <c r="U120" s="893"/>
      <c r="V120" s="881"/>
      <c r="W120" s="893"/>
      <c r="X120" s="881"/>
      <c r="Y120" s="893"/>
      <c r="Z120" s="881"/>
      <c r="AA120" s="882"/>
      <c r="AB120" s="893"/>
      <c r="AC120" s="881"/>
      <c r="AD120" s="883"/>
      <c r="AE120" s="1608"/>
      <c r="AF120" s="893"/>
      <c r="AG120" s="893"/>
      <c r="AH120" s="1042"/>
      <c r="AI120" s="416"/>
      <c r="AJ120" s="1438"/>
    </row>
    <row r="121" spans="1:44" ht="15">
      <c r="A121" s="416" t="s">
        <v>140</v>
      </c>
      <c r="B121" s="416"/>
      <c r="C121" s="881">
        <f>+'Exhibit F'!D112+'Exhibit G state'!D102</f>
        <v>1050.8</v>
      </c>
      <c r="D121" s="881"/>
      <c r="E121" s="881"/>
      <c r="F121" s="881"/>
      <c r="G121" s="881"/>
      <c r="H121" s="881"/>
      <c r="I121" s="881"/>
      <c r="J121" s="881"/>
      <c r="K121" s="881"/>
      <c r="L121" s="881"/>
      <c r="M121" s="881"/>
      <c r="N121" s="881"/>
      <c r="O121" s="881"/>
      <c r="P121" s="881"/>
      <c r="Q121" s="881"/>
      <c r="R121" s="881"/>
      <c r="S121" s="881"/>
      <c r="T121" s="881"/>
      <c r="U121" s="881"/>
      <c r="V121" s="881"/>
      <c r="W121" s="881"/>
      <c r="X121" s="881"/>
      <c r="Y121" s="881"/>
      <c r="Z121" s="881"/>
      <c r="AA121" s="882"/>
      <c r="AB121" s="881">
        <f>ROUND(SUM(C121:Y121),1)</f>
        <v>1050.8</v>
      </c>
      <c r="AC121" s="881"/>
      <c r="AD121" s="883"/>
      <c r="AE121" s="2502">
        <f>+'Exhibit F'!AF112+'Exhibit G state'!AG102</f>
        <v>1049.8</v>
      </c>
      <c r="AF121" s="893"/>
      <c r="AG121" s="893"/>
      <c r="AH121" s="881">
        <f>ROUND(SUM(AB121-AE121),1)</f>
        <v>1</v>
      </c>
      <c r="AI121" s="416"/>
      <c r="AJ121" s="1629">
        <f>ROUND(SUM(AH121/ABS(AE121)),3)</f>
        <v>1E-3</v>
      </c>
    </row>
    <row r="122" spans="1:44" ht="15">
      <c r="A122" s="416" t="s">
        <v>141</v>
      </c>
      <c r="B122" s="416"/>
      <c r="C122" s="881">
        <f>+'Exhibit F'!D113+'Exhibit G state'!D103+'Exhibit H'!B52</f>
        <v>347.2</v>
      </c>
      <c r="D122" s="881"/>
      <c r="E122" s="881"/>
      <c r="F122" s="881"/>
      <c r="G122" s="881"/>
      <c r="H122" s="881"/>
      <c r="I122" s="881"/>
      <c r="J122" s="881"/>
      <c r="K122" s="881"/>
      <c r="L122" s="881"/>
      <c r="M122" s="881"/>
      <c r="N122" s="881"/>
      <c r="O122" s="881"/>
      <c r="P122" s="881"/>
      <c r="Q122" s="881"/>
      <c r="R122" s="881"/>
      <c r="S122" s="881"/>
      <c r="T122" s="881"/>
      <c r="U122" s="881"/>
      <c r="V122" s="881"/>
      <c r="W122" s="881"/>
      <c r="X122" s="881"/>
      <c r="Y122" s="881"/>
      <c r="Z122" s="881"/>
      <c r="AA122" s="882"/>
      <c r="AB122" s="881">
        <f>ROUND(SUM(C122:Y122),1)</f>
        <v>347.2</v>
      </c>
      <c r="AC122" s="881"/>
      <c r="AD122" s="883"/>
      <c r="AE122" s="2502">
        <f>+'Exhibit F'!AF113+'Exhibit G state'!AG103+'Exhibit H'!AD52</f>
        <v>321.59999999999997</v>
      </c>
      <c r="AF122" s="893"/>
      <c r="AG122" s="893"/>
      <c r="AH122" s="881">
        <f>ROUND(SUM(AB122-AE122),1)</f>
        <v>25.6</v>
      </c>
      <c r="AI122" s="416"/>
      <c r="AJ122" s="1629">
        <f>ROUND(SUM(AH122/ABS(AE122)),3)</f>
        <v>0.08</v>
      </c>
    </row>
    <row r="123" spans="1:44" ht="15">
      <c r="A123" s="416" t="s">
        <v>39</v>
      </c>
      <c r="B123" s="416"/>
      <c r="C123" s="881">
        <f>+'Exhibit F'!D114+'Exhibit G state'!D104</f>
        <v>2826.1</v>
      </c>
      <c r="D123" s="881"/>
      <c r="E123" s="881"/>
      <c r="F123" s="881"/>
      <c r="G123" s="881"/>
      <c r="H123" s="881"/>
      <c r="I123" s="881"/>
      <c r="J123" s="881"/>
      <c r="K123" s="881"/>
      <c r="L123" s="881"/>
      <c r="M123" s="881"/>
      <c r="N123" s="881"/>
      <c r="O123" s="881"/>
      <c r="P123" s="881"/>
      <c r="Q123" s="881"/>
      <c r="R123" s="881"/>
      <c r="S123" s="881"/>
      <c r="T123" s="881"/>
      <c r="U123" s="881"/>
      <c r="V123" s="881"/>
      <c r="W123" s="881"/>
      <c r="X123" s="881"/>
      <c r="Y123" s="881"/>
      <c r="Z123" s="881"/>
      <c r="AA123" s="882"/>
      <c r="AB123" s="881">
        <f>ROUND(SUM(C123:Y123),1)</f>
        <v>2826.1</v>
      </c>
      <c r="AC123" s="881"/>
      <c r="AD123" s="883"/>
      <c r="AE123" s="2502">
        <f>+'Exhibit F'!AF114+'Exhibit G state'!AG104</f>
        <v>2452.2999999999997</v>
      </c>
      <c r="AF123" s="893"/>
      <c r="AG123" s="893"/>
      <c r="AH123" s="881">
        <f>ROUND(SUM(AB123-AE123),1)</f>
        <v>373.8</v>
      </c>
      <c r="AI123" s="416"/>
      <c r="AJ123" s="1629">
        <f>ROUND(SUM(AH123/ABS(AE123)),3)</f>
        <v>0.152</v>
      </c>
    </row>
    <row r="124" spans="1:44" ht="15">
      <c r="A124" s="416" t="s">
        <v>40</v>
      </c>
      <c r="B124" s="416"/>
      <c r="C124" s="893"/>
      <c r="D124" s="881"/>
      <c r="E124" s="893"/>
      <c r="F124" s="881"/>
      <c r="G124" s="893"/>
      <c r="H124" s="881"/>
      <c r="I124" s="893"/>
      <c r="J124" s="881"/>
      <c r="K124" s="893"/>
      <c r="L124" s="881"/>
      <c r="M124" s="893"/>
      <c r="N124" s="881"/>
      <c r="O124" s="893"/>
      <c r="P124" s="881"/>
      <c r="Q124" s="893"/>
      <c r="R124" s="881"/>
      <c r="S124" s="893"/>
      <c r="T124" s="881"/>
      <c r="U124" s="893"/>
      <c r="V124" s="881"/>
      <c r="W124" s="893"/>
      <c r="X124" s="881"/>
      <c r="Y124" s="893"/>
      <c r="Z124" s="881"/>
      <c r="AA124" s="882"/>
      <c r="AB124" s="881"/>
      <c r="AC124" s="881"/>
      <c r="AD124" s="883"/>
      <c r="AE124" s="893"/>
      <c r="AF124" s="893"/>
      <c r="AG124" s="893"/>
      <c r="AH124" s="881"/>
      <c r="AI124" s="416"/>
      <c r="AJ124" s="1629"/>
    </row>
    <row r="125" spans="1:44" ht="15">
      <c r="A125" s="416" t="s">
        <v>41</v>
      </c>
      <c r="B125" s="416"/>
      <c r="C125" s="881">
        <f>+'Exhibit H'!B54</f>
        <v>64.099999999999994</v>
      </c>
      <c r="D125" s="881"/>
      <c r="E125" s="881"/>
      <c r="F125" s="881"/>
      <c r="G125" s="881"/>
      <c r="H125" s="881"/>
      <c r="I125" s="881"/>
      <c r="J125" s="881"/>
      <c r="K125" s="881"/>
      <c r="L125" s="881"/>
      <c r="M125" s="881"/>
      <c r="N125" s="881"/>
      <c r="O125" s="881"/>
      <c r="P125" s="881"/>
      <c r="Q125" s="881"/>
      <c r="R125" s="881"/>
      <c r="S125" s="881"/>
      <c r="T125" s="881"/>
      <c r="U125" s="881"/>
      <c r="V125" s="881"/>
      <c r="W125" s="881"/>
      <c r="X125" s="881"/>
      <c r="Y125" s="881"/>
      <c r="Z125" s="881"/>
      <c r="AA125" s="882"/>
      <c r="AB125" s="881">
        <f>ROUND(SUM(C125:Y125),1)</f>
        <v>64.099999999999994</v>
      </c>
      <c r="AC125" s="881"/>
      <c r="AD125" s="883"/>
      <c r="AE125" s="1608">
        <f>+'Exhibit H'!AD54</f>
        <v>87.2</v>
      </c>
      <c r="AF125" s="893"/>
      <c r="AG125" s="893"/>
      <c r="AH125" s="881">
        <f>ROUND(SUM(AB125-AE125),1)</f>
        <v>-23.1</v>
      </c>
      <c r="AI125" s="416"/>
      <c r="AJ125" s="1629">
        <f>ROUND(SUM(AH125/ABS(AE125)),3)</f>
        <v>-0.26500000000000001</v>
      </c>
    </row>
    <row r="126" spans="1:44" ht="15">
      <c r="A126" s="897" t="s">
        <v>142</v>
      </c>
      <c r="B126" s="416"/>
      <c r="C126" s="886">
        <f>+'Exhibit G state'!D105</f>
        <v>0</v>
      </c>
      <c r="D126" s="881"/>
      <c r="E126" s="886"/>
      <c r="F126" s="881"/>
      <c r="G126" s="886"/>
      <c r="H126" s="881"/>
      <c r="I126" s="886"/>
      <c r="J126" s="881"/>
      <c r="K126" s="886"/>
      <c r="L126" s="881"/>
      <c r="M126" s="886"/>
      <c r="N126" s="881"/>
      <c r="O126" s="886"/>
      <c r="P126" s="881"/>
      <c r="Q126" s="886"/>
      <c r="R126" s="881"/>
      <c r="S126" s="886"/>
      <c r="T126" s="881"/>
      <c r="U126" s="886"/>
      <c r="V126" s="881"/>
      <c r="W126" s="886"/>
      <c r="X126" s="881"/>
      <c r="Y126" s="886"/>
      <c r="Z126" s="881"/>
      <c r="AA126" s="882"/>
      <c r="AB126" s="886">
        <f>ROUND(SUM(C126:Y126),1)</f>
        <v>0</v>
      </c>
      <c r="AC126" s="881"/>
      <c r="AD126" s="883"/>
      <c r="AE126" s="1594">
        <f>+'Exhibit G state'!AG105</f>
        <v>0</v>
      </c>
      <c r="AF126" s="893"/>
      <c r="AG126" s="893"/>
      <c r="AH126" s="886">
        <f>ROUND(SUM(AB126-AE126),1)</f>
        <v>0</v>
      </c>
      <c r="AI126" s="416"/>
      <c r="AJ126" s="1638">
        <f>ROUND(IF(AE126=0,0,AH126/ABS(AE126)),3)</f>
        <v>0</v>
      </c>
    </row>
    <row r="127" spans="1:44" ht="16.5" customHeight="1">
      <c r="A127" s="416"/>
      <c r="B127" s="416"/>
      <c r="C127" s="893"/>
      <c r="D127" s="881"/>
      <c r="E127" s="893"/>
      <c r="F127" s="881"/>
      <c r="G127" s="893"/>
      <c r="H127" s="881"/>
      <c r="I127" s="893"/>
      <c r="J127" s="881"/>
      <c r="K127" s="893"/>
      <c r="L127" s="881"/>
      <c r="M127" s="893"/>
      <c r="N127" s="881"/>
      <c r="O127" s="893"/>
      <c r="P127" s="881"/>
      <c r="Q127" s="893"/>
      <c r="R127" s="881"/>
      <c r="S127" s="893"/>
      <c r="T127" s="881"/>
      <c r="U127" s="893"/>
      <c r="V127" s="881"/>
      <c r="W127" s="893"/>
      <c r="X127" s="881"/>
      <c r="Y127" s="893"/>
      <c r="Z127" s="881"/>
      <c r="AA127" s="882"/>
      <c r="AB127" s="893"/>
      <c r="AC127" s="881"/>
      <c r="AD127" s="883"/>
      <c r="AE127" s="893"/>
      <c r="AF127" s="893"/>
      <c r="AG127" s="893"/>
      <c r="AH127" s="893"/>
      <c r="AI127" s="416"/>
      <c r="AJ127" s="1130"/>
    </row>
    <row r="128" spans="1:44" ht="16.5" customHeight="1">
      <c r="A128" s="397" t="s">
        <v>59</v>
      </c>
      <c r="B128" s="416"/>
      <c r="C128" s="1631">
        <f>ROUND(SUM(C119:C126),1)</f>
        <v>7880</v>
      </c>
      <c r="D128" s="889"/>
      <c r="E128" s="1631">
        <f>ROUND(SUM(E119:E126),1)</f>
        <v>0</v>
      </c>
      <c r="F128" s="889"/>
      <c r="G128" s="1631">
        <f>ROUND(SUM(G119:G126),1)</f>
        <v>0</v>
      </c>
      <c r="H128" s="889"/>
      <c r="I128" s="1631">
        <f>ROUND(SUM(I119:I126),1)</f>
        <v>0</v>
      </c>
      <c r="J128" s="889"/>
      <c r="K128" s="1631">
        <f>ROUND(SUM(K119:K126),1)</f>
        <v>0</v>
      </c>
      <c r="L128" s="889"/>
      <c r="M128" s="1631">
        <f>ROUND(SUM(M119:M126),1)</f>
        <v>0</v>
      </c>
      <c r="N128" s="889"/>
      <c r="O128" s="1631">
        <f>ROUND(SUM(O119:O126),1)</f>
        <v>0</v>
      </c>
      <c r="P128" s="889"/>
      <c r="Q128" s="1631">
        <f>ROUND(SUM(Q119:Q126),1)</f>
        <v>0</v>
      </c>
      <c r="R128" s="889"/>
      <c r="S128" s="1631">
        <f>ROUND(SUM(S119:S126),1)</f>
        <v>0</v>
      </c>
      <c r="T128" s="889"/>
      <c r="U128" s="1631">
        <f>ROUND(SUM(U119:U126),1)</f>
        <v>0</v>
      </c>
      <c r="V128" s="889"/>
      <c r="W128" s="1631">
        <f>ROUND(SUM(W119:W126),1)</f>
        <v>0</v>
      </c>
      <c r="X128" s="889"/>
      <c r="Y128" s="1631">
        <f>ROUND(SUM(Y119:Y126),1)</f>
        <v>0</v>
      </c>
      <c r="Z128" s="889"/>
      <c r="AA128" s="890"/>
      <c r="AB128" s="1631">
        <f>ROUND(SUM(AB119:AB126),1)</f>
        <v>7880</v>
      </c>
      <c r="AC128" s="889"/>
      <c r="AD128" s="891"/>
      <c r="AE128" s="1461">
        <f>ROUND(SUM(AE119:AE127),1)</f>
        <v>7225.1</v>
      </c>
      <c r="AF128" s="1797"/>
      <c r="AG128" s="1797"/>
      <c r="AH128" s="1461">
        <f>ROUND(SUM(AH119:AH127),1)</f>
        <v>654.9</v>
      </c>
      <c r="AI128" s="871"/>
      <c r="AJ128" s="1632">
        <f>ROUND(SUM(AH128/ABS(AE128)),3)</f>
        <v>9.0999999999999998E-2</v>
      </c>
      <c r="AK128" s="736"/>
      <c r="AL128" s="736"/>
      <c r="AM128" s="736"/>
      <c r="AN128" s="736"/>
      <c r="AO128" s="736"/>
      <c r="AP128" s="736"/>
      <c r="AQ128" s="736"/>
      <c r="AR128" s="736"/>
    </row>
    <row r="129" spans="1:59" ht="16.5" customHeight="1">
      <c r="A129" s="397"/>
      <c r="B129" s="416"/>
      <c r="C129" s="881"/>
      <c r="D129" s="881"/>
      <c r="E129" s="881"/>
      <c r="F129" s="881"/>
      <c r="G129" s="881"/>
      <c r="H129" s="881"/>
      <c r="I129" s="881"/>
      <c r="J129" s="881"/>
      <c r="K129" s="881"/>
      <c r="L129" s="881"/>
      <c r="M129" s="881"/>
      <c r="N129" s="881"/>
      <c r="O129" s="881"/>
      <c r="P129" s="881"/>
      <c r="Q129" s="881"/>
      <c r="R129" s="881"/>
      <c r="S129" s="881"/>
      <c r="T129" s="881"/>
      <c r="U129" s="881"/>
      <c r="V129" s="881"/>
      <c r="W129" s="881"/>
      <c r="X129" s="881"/>
      <c r="Y129" s="881"/>
      <c r="Z129" s="881"/>
      <c r="AA129" s="882"/>
      <c r="AB129" s="881"/>
      <c r="AC129" s="881"/>
      <c r="AD129" s="883"/>
      <c r="AE129" s="881"/>
      <c r="AF129" s="893"/>
      <c r="AG129" s="893"/>
      <c r="AH129" s="1042"/>
      <c r="AI129" s="416"/>
      <c r="AJ129" s="1438"/>
    </row>
    <row r="130" spans="1:59" ht="16.5" customHeight="1">
      <c r="A130" s="397" t="s">
        <v>44</v>
      </c>
      <c r="B130" s="416"/>
      <c r="C130" s="881"/>
      <c r="D130" s="881"/>
      <c r="E130" s="881"/>
      <c r="F130" s="881"/>
      <c r="G130" s="881"/>
      <c r="H130" s="881"/>
      <c r="I130" s="881"/>
      <c r="J130" s="881"/>
      <c r="K130" s="881"/>
      <c r="L130" s="881"/>
      <c r="M130" s="881"/>
      <c r="N130" s="881"/>
      <c r="O130" s="881"/>
      <c r="P130" s="881"/>
      <c r="Q130" s="881"/>
      <c r="R130" s="881"/>
      <c r="S130" s="881"/>
      <c r="T130" s="881"/>
      <c r="U130" s="881"/>
      <c r="V130" s="881"/>
      <c r="W130" s="881"/>
      <c r="X130" s="881"/>
      <c r="Y130" s="881"/>
      <c r="Z130" s="881"/>
      <c r="AA130" s="882"/>
      <c r="AB130" s="881"/>
      <c r="AC130" s="881"/>
      <c r="AD130" s="883"/>
      <c r="AE130" s="881"/>
      <c r="AF130" s="893"/>
      <c r="AG130" s="893"/>
      <c r="AH130" s="1042"/>
      <c r="AI130" s="416"/>
      <c r="AJ130" s="1438"/>
    </row>
    <row r="131" spans="1:59" ht="16.5" customHeight="1">
      <c r="A131" s="397" t="s">
        <v>45</v>
      </c>
      <c r="B131" s="416"/>
      <c r="C131" s="1631">
        <f>ROUND(SUM(C105-C128),1)</f>
        <v>1650.4</v>
      </c>
      <c r="D131" s="889"/>
      <c r="E131" s="1631">
        <f>ROUND(SUM(E105-E128),1)</f>
        <v>0</v>
      </c>
      <c r="F131" s="889"/>
      <c r="G131" s="1631">
        <f>ROUND(SUM(G105-G128),1)</f>
        <v>0</v>
      </c>
      <c r="H131" s="889"/>
      <c r="I131" s="1631">
        <f>ROUND(SUM(I105-I128),1)</f>
        <v>0</v>
      </c>
      <c r="J131" s="889"/>
      <c r="K131" s="1631">
        <f>ROUND(SUM(K105-K128),1)</f>
        <v>0</v>
      </c>
      <c r="L131" s="889"/>
      <c r="M131" s="1631">
        <f>ROUND(SUM(M105-M128),1)</f>
        <v>0</v>
      </c>
      <c r="N131" s="889"/>
      <c r="O131" s="1631">
        <f>ROUND(SUM(O105-O128),1)</f>
        <v>0</v>
      </c>
      <c r="P131" s="889"/>
      <c r="Q131" s="1631">
        <f>ROUND(SUM(Q105-Q128),1)</f>
        <v>0</v>
      </c>
      <c r="R131" s="889"/>
      <c r="S131" s="1631">
        <f>ROUND(SUM(S105-S128),1)</f>
        <v>0</v>
      </c>
      <c r="T131" s="889"/>
      <c r="U131" s="1631">
        <f>ROUND(SUM(U105-U128),1)</f>
        <v>0</v>
      </c>
      <c r="V131" s="889"/>
      <c r="W131" s="1631">
        <f>ROUND(SUM(W105-W128),1)</f>
        <v>0</v>
      </c>
      <c r="X131" s="889"/>
      <c r="Y131" s="1631">
        <f>ROUND(SUM(Y105-Y128),1)</f>
        <v>0</v>
      </c>
      <c r="Z131" s="889"/>
      <c r="AA131" s="890"/>
      <c r="AB131" s="1631">
        <f>ROUND(SUM(AB105-AB128),1)</f>
        <v>1650.4</v>
      </c>
      <c r="AC131" s="889"/>
      <c r="AD131" s="891"/>
      <c r="AE131" s="1631">
        <f>ROUND(SUM(AE105-AE128),1)</f>
        <v>1203.7</v>
      </c>
      <c r="AF131" s="1797"/>
      <c r="AG131" s="1797"/>
      <c r="AH131" s="1639">
        <f>ROUND(SUM(AB131-AE131),1)</f>
        <v>446.7</v>
      </c>
      <c r="AI131" s="871"/>
      <c r="AJ131" s="1641">
        <f>ROUND(SUM(AH131/ABS(AE131)),3)</f>
        <v>0.371</v>
      </c>
      <c r="AK131" s="736"/>
      <c r="AL131" s="736"/>
    </row>
    <row r="132" spans="1:59" ht="16.5" customHeight="1">
      <c r="A132" s="1438"/>
      <c r="B132" s="416"/>
      <c r="C132" s="892"/>
      <c r="D132" s="881"/>
      <c r="E132" s="892"/>
      <c r="F132" s="881"/>
      <c r="G132" s="892"/>
      <c r="H132" s="881"/>
      <c r="I132" s="892"/>
      <c r="J132" s="881"/>
      <c r="K132" s="892"/>
      <c r="L132" s="881"/>
      <c r="M132" s="892"/>
      <c r="N132" s="881"/>
      <c r="O132" s="892"/>
      <c r="P132" s="881"/>
      <c r="Q132" s="892"/>
      <c r="R132" s="881"/>
      <c r="S132" s="892"/>
      <c r="T132" s="881"/>
      <c r="U132" s="892"/>
      <c r="V132" s="881"/>
      <c r="W132" s="892"/>
      <c r="X132" s="881"/>
      <c r="Y132" s="892"/>
      <c r="Z132" s="895"/>
      <c r="AA132" s="882"/>
      <c r="AB132" s="892"/>
      <c r="AC132" s="881"/>
      <c r="AD132" s="883"/>
      <c r="AE132" s="892"/>
      <c r="AF132" s="893"/>
      <c r="AG132" s="893"/>
      <c r="AH132" s="1042"/>
      <c r="AI132" s="416"/>
      <c r="AJ132" s="1438"/>
    </row>
    <row r="133" spans="1:59" ht="16.5" customHeight="1">
      <c r="A133" s="397" t="s">
        <v>46</v>
      </c>
      <c r="B133" s="416"/>
      <c r="C133" s="893"/>
      <c r="D133" s="881"/>
      <c r="E133" s="901"/>
      <c r="F133" s="902"/>
      <c r="G133" s="901"/>
      <c r="H133" s="902"/>
      <c r="I133" s="901"/>
      <c r="J133" s="902"/>
      <c r="K133" s="901"/>
      <c r="L133" s="902"/>
      <c r="M133" s="901"/>
      <c r="N133" s="902"/>
      <c r="O133" s="901"/>
      <c r="P133" s="902"/>
      <c r="Q133" s="901"/>
      <c r="R133" s="902"/>
      <c r="S133" s="901"/>
      <c r="T133" s="902"/>
      <c r="U133" s="901"/>
      <c r="V133" s="881"/>
      <c r="W133" s="901"/>
      <c r="X133" s="881"/>
      <c r="Y133" s="901"/>
      <c r="Z133" s="1636"/>
      <c r="AA133" s="882"/>
      <c r="AB133" s="893"/>
      <c r="AC133" s="1636"/>
      <c r="AD133" s="881"/>
      <c r="AE133" s="893"/>
      <c r="AF133" s="893"/>
      <c r="AG133" s="893"/>
      <c r="AH133" s="1042"/>
      <c r="AI133" s="416"/>
      <c r="AJ133" s="1438"/>
    </row>
    <row r="134" spans="1:59" ht="16.5" customHeight="1">
      <c r="A134" s="416" t="s">
        <v>1298</v>
      </c>
      <c r="B134" s="416"/>
      <c r="C134" s="903">
        <f>+'Exhibit F'!D123+'Exhibit F'!D124+'Exhibit F'!D125+'Exhibit F'!D126+'Exhibit G state'!D113+'Exhibit H'!B63</f>
        <v>4147.3</v>
      </c>
      <c r="D134" s="881"/>
      <c r="E134" s="903"/>
      <c r="F134" s="881"/>
      <c r="G134" s="903"/>
      <c r="H134" s="881"/>
      <c r="I134" s="903"/>
      <c r="J134" s="881"/>
      <c r="K134" s="903"/>
      <c r="L134" s="881"/>
      <c r="M134" s="903"/>
      <c r="N134" s="881"/>
      <c r="O134" s="903"/>
      <c r="P134" s="881"/>
      <c r="Q134" s="903"/>
      <c r="R134" s="881"/>
      <c r="S134" s="903"/>
      <c r="T134" s="881"/>
      <c r="U134" s="903"/>
      <c r="V134" s="881"/>
      <c r="W134" s="903"/>
      <c r="X134" s="881"/>
      <c r="Y134" s="903"/>
      <c r="Z134" s="881"/>
      <c r="AA134" s="882"/>
      <c r="AB134" s="881">
        <f>ROUND(SUM(C134:Y134),1)</f>
        <v>4147.3</v>
      </c>
      <c r="AC134" s="881"/>
      <c r="AD134" s="882"/>
      <c r="AE134" s="881">
        <f>'Exhibit F'!AF123+'Exhibit F'!AF124+'Exhibit F'!AF125+'Exhibit F'!AF126+'Exhibit G state'!AG113+'Exhibit H'!AD63</f>
        <v>3168.6</v>
      </c>
      <c r="AF134" s="893"/>
      <c r="AG134" s="893"/>
      <c r="AH134" s="881">
        <f>ROUND(SUM(AB134-AE134),1)</f>
        <v>978.7</v>
      </c>
      <c r="AI134" s="416"/>
      <c r="AJ134" s="1629">
        <f>ROUND(SUM(AH134/ABS(AE134)),3)</f>
        <v>0.309</v>
      </c>
    </row>
    <row r="135" spans="1:59" ht="16.5" customHeight="1">
      <c r="A135" s="416" t="s">
        <v>1299</v>
      </c>
      <c r="C135" s="1005">
        <f>+'Exhibit F'!D127+'Exhibit F'!D128+'Exhibit F'!D129+'Exhibit F'!D130+'Exhibit F'!D131+'Exhibit G state'!D114+'Exhibit H'!B64</f>
        <v>-4017.1</v>
      </c>
      <c r="D135" s="242"/>
      <c r="E135" s="1005"/>
      <c r="F135" s="242"/>
      <c r="G135" s="1005"/>
      <c r="H135" s="242"/>
      <c r="I135" s="1005"/>
      <c r="J135" s="242"/>
      <c r="K135" s="1005"/>
      <c r="L135" s="242"/>
      <c r="M135" s="1005"/>
      <c r="N135" s="242"/>
      <c r="O135" s="1005"/>
      <c r="P135" s="242"/>
      <c r="Q135" s="1005"/>
      <c r="R135" s="242"/>
      <c r="S135" s="1005"/>
      <c r="T135" s="242"/>
      <c r="U135" s="1005"/>
      <c r="V135" s="242"/>
      <c r="W135" s="1005"/>
      <c r="X135" s="242"/>
      <c r="Y135" s="1005"/>
      <c r="Z135" s="242"/>
      <c r="AA135" s="905"/>
      <c r="AB135" s="886">
        <f>ROUND(SUM(C135:Y135),1)</f>
        <v>-4017.1</v>
      </c>
      <c r="AC135" s="242"/>
      <c r="AD135" s="905"/>
      <c r="AE135" s="886">
        <f>'Exhibit F'!AF127+'Exhibit F'!AF128+'Exhibit F'!AF129+'Exhibit F'!AF130+'Exhibit F'!AF131+'Exhibit G state'!AG114+'Exhibit H'!AD64</f>
        <v>-3361.2</v>
      </c>
      <c r="AF135" s="892"/>
      <c r="AG135" s="892"/>
      <c r="AH135" s="886">
        <f>ROUND(SUM(-AB135+AE135),1)</f>
        <v>655.9</v>
      </c>
      <c r="AI135" s="1438"/>
      <c r="AJ135" s="1640">
        <f>ROUND(SUM(AH135/ABS(AE135)),3)</f>
        <v>0.19500000000000001</v>
      </c>
    </row>
    <row r="136" spans="1:59" ht="16.5" customHeight="1">
      <c r="A136" s="416"/>
      <c r="C136" s="893"/>
      <c r="D136" s="242"/>
      <c r="E136" s="893"/>
      <c r="F136" s="242"/>
      <c r="G136" s="893"/>
      <c r="H136" s="242"/>
      <c r="I136" s="893"/>
      <c r="J136" s="242"/>
      <c r="K136" s="893"/>
      <c r="L136" s="242"/>
      <c r="M136" s="893"/>
      <c r="N136" s="242"/>
      <c r="O136" s="893"/>
      <c r="P136" s="242"/>
      <c r="Q136" s="893"/>
      <c r="R136" s="242"/>
      <c r="S136" s="893"/>
      <c r="T136" s="242"/>
      <c r="U136" s="893"/>
      <c r="V136" s="242"/>
      <c r="W136" s="893"/>
      <c r="X136" s="242"/>
      <c r="Y136" s="893"/>
      <c r="Z136" s="242"/>
      <c r="AA136" s="905"/>
      <c r="AB136" s="893"/>
      <c r="AC136" s="242"/>
      <c r="AD136" s="905"/>
      <c r="AE136" s="893"/>
      <c r="AF136" s="892"/>
      <c r="AG136" s="892"/>
      <c r="AH136" s="893"/>
      <c r="AI136" s="1438"/>
      <c r="AJ136" s="1130"/>
    </row>
    <row r="137" spans="1:59" ht="16.5" customHeight="1">
      <c r="A137" s="397" t="s">
        <v>50</v>
      </c>
      <c r="C137" s="1631">
        <f>ROUND(SUM(C134:C135),1)</f>
        <v>130.19999999999999</v>
      </c>
      <c r="D137" s="906"/>
      <c r="E137" s="1631">
        <f>ROUND(SUM(E134:E135),1)</f>
        <v>0</v>
      </c>
      <c r="F137" s="906"/>
      <c r="G137" s="1631">
        <f>ROUND(SUM(G134:G135),1)</f>
        <v>0</v>
      </c>
      <c r="H137" s="906"/>
      <c r="I137" s="1631">
        <f>ROUND(SUM(I134:I135),1)</f>
        <v>0</v>
      </c>
      <c r="J137" s="906"/>
      <c r="K137" s="1631">
        <f>ROUND(SUM(K134:K135),1)</f>
        <v>0</v>
      </c>
      <c r="L137" s="906"/>
      <c r="M137" s="1631">
        <f>ROUND(SUM(M134:M135),1)</f>
        <v>0</v>
      </c>
      <c r="N137" s="906"/>
      <c r="O137" s="1631">
        <f>ROUND(SUM(O134:O135),1)</f>
        <v>0</v>
      </c>
      <c r="P137" s="906"/>
      <c r="Q137" s="1631">
        <f>ROUND(SUM(Q134:Q135),1)</f>
        <v>0</v>
      </c>
      <c r="R137" s="906"/>
      <c r="S137" s="1631">
        <f>ROUND(SUM(S134:S135),1)</f>
        <v>0</v>
      </c>
      <c r="T137" s="906"/>
      <c r="U137" s="1631">
        <f>ROUND(SUM(U134:U135),1)</f>
        <v>0</v>
      </c>
      <c r="V137" s="906"/>
      <c r="W137" s="1631">
        <f>ROUND(SUM(W134:W135),1)</f>
        <v>0</v>
      </c>
      <c r="X137" s="906"/>
      <c r="Y137" s="1631">
        <f>ROUND(SUM(Y134:Y135),1)</f>
        <v>0</v>
      </c>
      <c r="Z137" s="906"/>
      <c r="AA137" s="907"/>
      <c r="AB137" s="1631">
        <f>ROUND(SUM(AB134:AB135),1)</f>
        <v>130.19999999999999</v>
      </c>
      <c r="AC137" s="906"/>
      <c r="AD137" s="907"/>
      <c r="AE137" s="1631">
        <f>ROUND(SUM(AE134:AE135),1)</f>
        <v>-192.6</v>
      </c>
      <c r="AF137" s="1141"/>
      <c r="AG137" s="892"/>
      <c r="AH137" s="1631">
        <f>ROUND(SUM(AH134-AH135),1)</f>
        <v>322.8</v>
      </c>
      <c r="AI137" s="397"/>
      <c r="AJ137" s="1641">
        <f>-ROUND(SUM(-AH137/ABS(AE137)),3)</f>
        <v>1.6759999999999999</v>
      </c>
      <c r="AK137" s="736"/>
      <c r="AL137" s="736"/>
    </row>
    <row r="138" spans="1:59" ht="16.5" customHeight="1">
      <c r="A138" s="1438"/>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905"/>
      <c r="AB138" s="242"/>
      <c r="AC138" s="242"/>
      <c r="AD138" s="905"/>
      <c r="AE138" s="242"/>
      <c r="AF138" s="892"/>
      <c r="AG138" s="404"/>
      <c r="AH138" s="1042"/>
      <c r="AI138" s="1438"/>
      <c r="AJ138" s="1438"/>
    </row>
    <row r="139" spans="1:59" ht="16.5" customHeight="1">
      <c r="A139" s="459" t="s">
        <v>44</v>
      </c>
      <c r="C139" s="893"/>
      <c r="D139" s="242"/>
      <c r="E139" s="893"/>
      <c r="F139" s="242"/>
      <c r="G139" s="893"/>
      <c r="H139" s="242"/>
      <c r="I139" s="893"/>
      <c r="J139" s="242"/>
      <c r="K139" s="893"/>
      <c r="L139" s="242"/>
      <c r="M139" s="893"/>
      <c r="N139" s="242"/>
      <c r="O139" s="893"/>
      <c r="P139" s="242"/>
      <c r="Q139" s="893"/>
      <c r="R139" s="242"/>
      <c r="S139" s="893"/>
      <c r="T139" s="242"/>
      <c r="U139" s="893"/>
      <c r="V139" s="242"/>
      <c r="W139" s="893"/>
      <c r="X139" s="242"/>
      <c r="Y139" s="893"/>
      <c r="Z139" s="242"/>
      <c r="AA139" s="905"/>
      <c r="AB139" s="893"/>
      <c r="AC139" s="242"/>
      <c r="AD139" s="905"/>
      <c r="AE139" s="893"/>
      <c r="AF139" s="892"/>
      <c r="AG139" s="1801"/>
      <c r="AH139" s="1042"/>
      <c r="AI139" s="1438"/>
      <c r="AJ139" s="1438"/>
    </row>
    <row r="140" spans="1:59" ht="16.5" customHeight="1">
      <c r="A140" s="459" t="s">
        <v>51</v>
      </c>
      <c r="C140" s="889"/>
      <c r="D140" s="906"/>
      <c r="E140" s="889"/>
      <c r="F140" s="906"/>
      <c r="G140" s="889"/>
      <c r="H140" s="906"/>
      <c r="I140" s="889"/>
      <c r="J140" s="906"/>
      <c r="K140" s="889"/>
      <c r="L140" s="906"/>
      <c r="M140" s="889"/>
      <c r="N140" s="906"/>
      <c r="O140" s="889"/>
      <c r="P140" s="906"/>
      <c r="Q140" s="889"/>
      <c r="R140" s="906"/>
      <c r="S140" s="889"/>
      <c r="T140" s="906"/>
      <c r="U140" s="889"/>
      <c r="V140" s="906"/>
      <c r="W140" s="889"/>
      <c r="X140" s="906"/>
      <c r="Y140" s="889"/>
      <c r="Z140" s="906"/>
      <c r="AA140" s="907"/>
      <c r="AB140" s="889"/>
      <c r="AC140" s="906"/>
      <c r="AD140" s="907"/>
      <c r="AE140" s="889"/>
      <c r="AF140" s="892"/>
      <c r="AG140" s="404"/>
      <c r="AH140" s="1587"/>
      <c r="AI140" s="397"/>
      <c r="AJ140" s="397"/>
      <c r="AK140" s="736"/>
      <c r="AL140" s="736"/>
      <c r="AM140" s="736"/>
      <c r="AN140" s="736"/>
      <c r="AO140" s="736"/>
      <c r="AP140" s="736"/>
      <c r="AQ140" s="736"/>
      <c r="AR140" s="736"/>
      <c r="AS140" s="736"/>
      <c r="AT140" s="736"/>
      <c r="AU140" s="736"/>
      <c r="AV140" s="736"/>
      <c r="AW140" s="736"/>
      <c r="AX140" s="736"/>
      <c r="AY140" s="736"/>
      <c r="AZ140" s="736"/>
      <c r="BA140" s="736"/>
      <c r="BB140" s="736"/>
      <c r="BC140" s="736"/>
      <c r="BD140" s="736"/>
      <c r="BE140" s="736"/>
      <c r="BF140" s="736"/>
      <c r="BG140" s="736"/>
    </row>
    <row r="141" spans="1:59" ht="16.5" customHeight="1">
      <c r="A141" s="459" t="s">
        <v>52</v>
      </c>
      <c r="C141" s="908">
        <f>ROUND(SUM(C131+C137),1)</f>
        <v>1780.6</v>
      </c>
      <c r="D141" s="906"/>
      <c r="E141" s="908">
        <f>ROUND(SUM(E131+E137),1)</f>
        <v>0</v>
      </c>
      <c r="F141" s="906"/>
      <c r="G141" s="908">
        <f>ROUND(SUM(G131+G137),1)</f>
        <v>0</v>
      </c>
      <c r="H141" s="906"/>
      <c r="I141" s="908">
        <f>ROUND(SUM(I131+I137),1)</f>
        <v>0</v>
      </c>
      <c r="J141" s="906"/>
      <c r="K141" s="908">
        <f>ROUND(SUM(K131+K137),1)</f>
        <v>0</v>
      </c>
      <c r="L141" s="906"/>
      <c r="M141" s="908">
        <f>ROUND(SUM(M131+M137),1)</f>
        <v>0</v>
      </c>
      <c r="N141" s="906"/>
      <c r="O141" s="908">
        <f>ROUND(SUM(O131+O137),1)</f>
        <v>0</v>
      </c>
      <c r="P141" s="906"/>
      <c r="Q141" s="908">
        <f>ROUND(SUM(Q131+Q137),1)</f>
        <v>0</v>
      </c>
      <c r="R141" s="906"/>
      <c r="S141" s="908">
        <f>ROUND(SUM(S131+S137),1)</f>
        <v>0</v>
      </c>
      <c r="T141" s="906"/>
      <c r="U141" s="908">
        <f>ROUND(SUM(U131+U137),1)</f>
        <v>0</v>
      </c>
      <c r="V141" s="906"/>
      <c r="W141" s="908">
        <f>ROUND(SUM(W131+W137),1)</f>
        <v>0</v>
      </c>
      <c r="X141" s="906"/>
      <c r="Y141" s="908">
        <f>ROUND(SUM(Y131+Y137),1)</f>
        <v>0</v>
      </c>
      <c r="Z141" s="906"/>
      <c r="AA141" s="907"/>
      <c r="AB141" s="908">
        <f>ROUND(SUM(AB131+AB137),1)</f>
        <v>1780.6</v>
      </c>
      <c r="AC141" s="906"/>
      <c r="AD141" s="907"/>
      <c r="AE141" s="908">
        <f>ROUND(SUM(AE131+AE137),1)</f>
        <v>1011.1</v>
      </c>
      <c r="AF141" s="892"/>
      <c r="AG141" s="913"/>
      <c r="AH141" s="1639">
        <f>ROUND(SUM(AB141-AE141),1)</f>
        <v>769.5</v>
      </c>
      <c r="AI141" s="397"/>
      <c r="AJ141" s="1641">
        <f>ROUND(SUM(AH141/ABS(AE141)),3)</f>
        <v>0.76100000000000001</v>
      </c>
      <c r="AK141" s="736"/>
      <c r="AL141" s="736"/>
      <c r="AM141" s="736"/>
      <c r="AN141" s="736"/>
      <c r="AO141" s="736"/>
      <c r="AP141" s="736"/>
      <c r="AQ141" s="736"/>
      <c r="AR141" s="736"/>
      <c r="AS141" s="736"/>
      <c r="AT141" s="736"/>
      <c r="AU141" s="736"/>
      <c r="AV141" s="736"/>
      <c r="AW141" s="736"/>
      <c r="AX141" s="736"/>
      <c r="AY141" s="736"/>
      <c r="AZ141" s="736"/>
      <c r="BA141" s="736"/>
      <c r="BB141" s="736"/>
      <c r="BC141" s="736"/>
      <c r="BD141" s="736"/>
      <c r="BE141" s="736"/>
      <c r="BF141" s="736"/>
      <c r="BG141" s="736"/>
    </row>
    <row r="142" spans="1:59" ht="15.75">
      <c r="A142" s="397"/>
      <c r="C142" s="874"/>
      <c r="E142" s="874"/>
      <c r="G142" s="874"/>
      <c r="I142" s="874"/>
      <c r="K142" s="874"/>
      <c r="M142" s="874"/>
      <c r="O142" s="874"/>
      <c r="Q142" s="874"/>
      <c r="S142" s="874"/>
      <c r="U142" s="874"/>
      <c r="W142" s="874"/>
      <c r="Y142" s="874"/>
      <c r="AA142" s="909"/>
      <c r="AB142" s="874"/>
      <c r="AD142" s="909"/>
      <c r="AE142" s="2853"/>
      <c r="AF142" s="892"/>
      <c r="AG142" s="913"/>
      <c r="AH142" s="1438"/>
      <c r="AI142" s="1438"/>
      <c r="AJ142" s="1438"/>
    </row>
    <row r="143" spans="1:59" thickBot="1">
      <c r="A143" s="910" t="s">
        <v>143</v>
      </c>
      <c r="C143" s="911">
        <f>ROUND(SUM(C16+C141),1)</f>
        <v>15387.2</v>
      </c>
      <c r="D143" s="454"/>
      <c r="E143" s="911">
        <f>ROUND(SUM(E16+E141),1)</f>
        <v>0</v>
      </c>
      <c r="F143" s="454"/>
      <c r="G143" s="911">
        <f>ROUND(SUM(G16+G141),1)</f>
        <v>0</v>
      </c>
      <c r="H143" s="454"/>
      <c r="I143" s="911">
        <f>ROUND(SUM(I16+I141),1)</f>
        <v>0</v>
      </c>
      <c r="J143" s="912"/>
      <c r="K143" s="911">
        <f>ROUND(SUM(K16+K141),1)</f>
        <v>0</v>
      </c>
      <c r="L143" s="912"/>
      <c r="M143" s="911">
        <f>ROUND(SUM(M16+M141),1)</f>
        <v>0</v>
      </c>
      <c r="N143" s="912"/>
      <c r="O143" s="911">
        <f>ROUND(SUM(O16+O141),1)</f>
        <v>0</v>
      </c>
      <c r="P143" s="912"/>
      <c r="Q143" s="911">
        <f>ROUND(SUM(Q16+Q141),1)</f>
        <v>0</v>
      </c>
      <c r="R143" s="912"/>
      <c r="S143" s="911">
        <f>ROUND(SUM(S16+S141),1)</f>
        <v>0</v>
      </c>
      <c r="T143" s="912"/>
      <c r="U143" s="911">
        <f>ROUND(SUM(U16+U141),1)</f>
        <v>0</v>
      </c>
      <c r="V143" s="912"/>
      <c r="W143" s="911">
        <f>ROUND(SUM(W16+W141),1)</f>
        <v>0</v>
      </c>
      <c r="X143" s="912"/>
      <c r="Y143" s="911">
        <f>ROUND(SUM(Y16+Y141),1)</f>
        <v>0</v>
      </c>
      <c r="Z143" s="454"/>
      <c r="AA143" s="913"/>
      <c r="AB143" s="911">
        <f>ROUND(SUM(AB16+AB141),1)</f>
        <v>15387.2</v>
      </c>
      <c r="AC143" s="454"/>
      <c r="AD143" s="913"/>
      <c r="AE143" s="2854">
        <f>ROUND(SUM(AE16+AE141),1)</f>
        <v>12636.4</v>
      </c>
      <c r="AF143" s="892"/>
      <c r="AG143" s="913"/>
      <c r="AH143" s="911">
        <f>ROUND(SUM(AB143-AE143),1)</f>
        <v>2750.8</v>
      </c>
      <c r="AI143" s="397"/>
      <c r="AJ143" s="506">
        <f>ROUND(SUM(AH143/ABS(AE143)),3)</f>
        <v>0.218</v>
      </c>
      <c r="AK143" s="736"/>
    </row>
    <row r="144" spans="1:59" thickTop="1">
      <c r="A144" s="914"/>
      <c r="C144" s="404"/>
      <c r="AH144" s="1438"/>
      <c r="AI144" s="1438"/>
      <c r="AJ144" s="1438"/>
    </row>
    <row r="145" spans="1:36" ht="15">
      <c r="A145" s="999" t="s">
        <v>1284</v>
      </c>
      <c r="AH145" s="1438"/>
      <c r="AI145" s="1438"/>
      <c r="AJ145" s="1438"/>
    </row>
    <row r="146" spans="1:36" ht="15">
      <c r="A146" s="999" t="s">
        <v>1243</v>
      </c>
      <c r="AH146" s="1438"/>
      <c r="AI146" s="1438"/>
      <c r="AJ146" s="1438"/>
    </row>
    <row r="147" spans="1:36" ht="15">
      <c r="A147" s="2014" t="s">
        <v>1320</v>
      </c>
      <c r="AH147" s="1438"/>
      <c r="AI147" s="1438"/>
      <c r="AJ147" s="1438"/>
    </row>
    <row r="148" spans="1:36" ht="16.5" customHeight="1">
      <c r="AH148" s="1438"/>
      <c r="AI148" s="1438"/>
      <c r="AJ148" s="1438"/>
    </row>
    <row r="149" spans="1:36" ht="16.5" customHeight="1">
      <c r="AH149" s="1438"/>
      <c r="AI149" s="1438"/>
      <c r="AJ149" s="1438"/>
    </row>
    <row r="150" spans="1:36" ht="16.5" customHeight="1">
      <c r="AH150" s="1438"/>
      <c r="AI150" s="1438"/>
      <c r="AJ150" s="1438"/>
    </row>
    <row r="151" spans="1:36" ht="16.5" customHeight="1">
      <c r="AH151" s="1438"/>
      <c r="AI151" s="1438"/>
      <c r="AJ151" s="1438"/>
    </row>
    <row r="152" spans="1:36" ht="16.5" customHeight="1">
      <c r="AH152" s="1438"/>
      <c r="AI152" s="1438"/>
      <c r="AJ152" s="1438"/>
    </row>
    <row r="153" spans="1:36" ht="16.5" customHeight="1">
      <c r="AH153" s="1438"/>
      <c r="AI153" s="1438"/>
      <c r="AJ153" s="1438"/>
    </row>
    <row r="154" spans="1:36" ht="16.5" customHeight="1">
      <c r="AH154" s="1438"/>
      <c r="AI154" s="1438"/>
      <c r="AJ154" s="1438"/>
    </row>
    <row r="155" spans="1:36" ht="16.5" customHeight="1">
      <c r="AH155" s="1438"/>
      <c r="AI155" s="1438"/>
      <c r="AJ155" s="1438"/>
    </row>
    <row r="156" spans="1:36" ht="16.5" customHeight="1">
      <c r="AH156" s="1438"/>
      <c r="AI156" s="1438"/>
      <c r="AJ156" s="1438"/>
    </row>
    <row r="157" spans="1:36" ht="16.5" customHeight="1">
      <c r="AH157" s="1438"/>
      <c r="AI157" s="1438"/>
      <c r="AJ157" s="1438"/>
    </row>
    <row r="158" spans="1:36" ht="16.5" customHeight="1">
      <c r="AH158" s="1438"/>
      <c r="AI158" s="1438"/>
      <c r="AJ158" s="1438"/>
    </row>
    <row r="159" spans="1:36" ht="16.5" customHeight="1">
      <c r="AH159" s="1438"/>
      <c r="AI159" s="1438"/>
      <c r="AJ159" s="1438"/>
    </row>
    <row r="160" spans="1:36" ht="16.5" customHeight="1">
      <c r="AH160" s="1438"/>
      <c r="AI160" s="1438"/>
      <c r="AJ160" s="1438"/>
    </row>
    <row r="161" spans="34:36" ht="16.5" customHeight="1">
      <c r="AH161" s="1438"/>
      <c r="AI161" s="1438"/>
      <c r="AJ161" s="1438"/>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8" orientation="landscape" useFirstPageNumber="1" r:id="rId2"/>
  <headerFooter scaleWithDoc="0" alignWithMargins="0">
    <oddFooter>&amp;C&amp;8&amp;P</oddFooter>
  </headerFooter>
  <rowBreaks count="1" manualBreakCount="1">
    <brk id="84" max="35" man="1"/>
  </rowBreaks>
  <ignoredErrors>
    <ignoredError sqref="AJ83 AJ27:AJ34" unlockedFormula="1"/>
    <ignoredError sqref="AB26 AH24 AH35:AI35 AJ53 AJ91 AJ35 AJ38" formula="1"/>
    <ignoredError sqref="AJ82 AJ72:AJ74 AJ69 AJ66:AJ67 AJ68 AJ71 AJ110 AJ36:AJ37" formula="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214"/>
  <sheetViews>
    <sheetView showGridLines="0" zoomScale="70" zoomScaleNormal="55" workbookViewId="0"/>
  </sheetViews>
  <sheetFormatPr defaultColWidth="8.88671875" defaultRowHeight="12.75"/>
  <cols>
    <col min="1" max="1" width="5.109375" style="398" customWidth="1"/>
    <col min="2" max="2" width="48.5546875" style="398" customWidth="1"/>
    <col min="3" max="3" width="1.109375" style="398" customWidth="1"/>
    <col min="4" max="4" width="12.44140625" style="398" bestFit="1" customWidth="1"/>
    <col min="5" max="5" width="1.6640625" style="398" customWidth="1"/>
    <col min="6" max="6" width="12" style="398" customWidth="1"/>
    <col min="7" max="7" width="1.6640625" style="398" customWidth="1"/>
    <col min="8" max="8" width="12.33203125" style="398" customWidth="1"/>
    <col min="9" max="9" width="1.6640625" style="398" customWidth="1"/>
    <col min="10" max="10" width="13.77734375" style="1821" customWidth="1"/>
    <col min="11" max="11" width="1.6640625" style="398" customWidth="1"/>
    <col min="12" max="12" width="12.33203125" style="398" bestFit="1" customWidth="1"/>
    <col min="13" max="13" width="1.6640625" style="398" customWidth="1"/>
    <col min="14" max="14" width="13.88671875" style="398" customWidth="1"/>
    <col min="15" max="15" width="1.6640625" style="398" customWidth="1"/>
    <col min="16" max="16" width="12.33203125" style="398" customWidth="1"/>
    <col min="17" max="17" width="1.6640625" style="398" customWidth="1"/>
    <col min="18" max="18" width="12.21875" style="398" customWidth="1"/>
    <col min="19" max="19" width="1.6640625" style="398" customWidth="1"/>
    <col min="20" max="20" width="11.77734375" style="398" customWidth="1"/>
    <col min="21" max="21" width="1.6640625" style="398" customWidth="1"/>
    <col min="22" max="22" width="12.21875" style="398" customWidth="1"/>
    <col min="23" max="23" width="1.6640625" style="398" customWidth="1"/>
    <col min="24" max="24" width="12.77734375" style="398" customWidth="1"/>
    <col min="25" max="25" width="1.6640625" style="398" customWidth="1"/>
    <col min="26" max="26" width="10.6640625" style="398" customWidth="1"/>
    <col min="27" max="27" width="1.5546875" style="398" customWidth="1"/>
    <col min="28" max="28" width="1.6640625" style="398" customWidth="1"/>
    <col min="29" max="29" width="12.33203125" style="398" bestFit="1" customWidth="1"/>
    <col min="30" max="30" width="1.44140625" style="398" customWidth="1"/>
    <col min="31" max="31" width="1.33203125" style="398" customWidth="1"/>
    <col min="32" max="32" width="12.33203125" style="1824" bestFit="1" customWidth="1"/>
    <col min="33" max="33" width="1" style="398" customWidth="1"/>
    <col min="34" max="34" width="1.109375" style="398" customWidth="1"/>
    <col min="35" max="35" width="13.109375" style="398" bestFit="1" customWidth="1"/>
    <col min="36" max="36" width="1" style="403" customWidth="1"/>
    <col min="37" max="37" width="13.6640625" style="441" bestFit="1" customWidth="1"/>
    <col min="38" max="38" width="10.33203125" style="398" customWidth="1"/>
    <col min="39" max="16384" width="8.88671875" style="398"/>
  </cols>
  <sheetData>
    <row r="1" spans="1:37" ht="15">
      <c r="B1" s="1052" t="s">
        <v>1064</v>
      </c>
    </row>
    <row r="2" spans="1:37">
      <c r="A2" s="438"/>
      <c r="B2" s="439"/>
      <c r="C2" s="439"/>
      <c r="D2" s="439"/>
      <c r="E2" s="439"/>
      <c r="F2" s="439"/>
      <c r="G2" s="439"/>
      <c r="H2" s="439"/>
      <c r="I2" s="439"/>
      <c r="J2" s="1822"/>
      <c r="K2" s="439"/>
      <c r="L2" s="439"/>
      <c r="M2" s="439"/>
      <c r="N2" s="439"/>
      <c r="O2" s="439"/>
      <c r="P2" s="439"/>
      <c r="Q2" s="439"/>
      <c r="R2" s="439"/>
      <c r="S2" s="439"/>
      <c r="T2" s="439"/>
      <c r="U2" s="439"/>
      <c r="V2" s="439"/>
      <c r="W2" s="439"/>
      <c r="X2" s="439"/>
      <c r="Y2" s="439"/>
      <c r="Z2" s="439"/>
      <c r="AA2" s="439"/>
      <c r="AB2" s="439"/>
      <c r="AC2" s="439"/>
      <c r="AD2" s="439"/>
      <c r="AE2" s="439"/>
      <c r="AF2" s="1536"/>
      <c r="AG2" s="439"/>
      <c r="AH2" s="440"/>
    </row>
    <row r="3" spans="1:37">
      <c r="A3" s="438"/>
      <c r="B3" s="439"/>
      <c r="C3" s="439"/>
      <c r="D3" s="439"/>
      <c r="E3" s="439"/>
      <c r="F3" s="439"/>
      <c r="G3" s="439"/>
      <c r="H3" s="439"/>
      <c r="I3" s="439"/>
      <c r="J3" s="1822"/>
      <c r="K3" s="439"/>
      <c r="L3" s="439"/>
      <c r="M3" s="439"/>
      <c r="N3" s="439"/>
      <c r="O3" s="439"/>
      <c r="P3" s="439"/>
      <c r="Q3" s="439"/>
      <c r="R3" s="439"/>
      <c r="S3" s="439"/>
      <c r="T3" s="439"/>
      <c r="U3" s="439"/>
      <c r="V3" s="439"/>
      <c r="W3" s="439"/>
      <c r="X3" s="439"/>
      <c r="Y3" s="439"/>
      <c r="Z3" s="439"/>
      <c r="AA3" s="439"/>
      <c r="AB3" s="439"/>
      <c r="AC3" s="439"/>
      <c r="AD3" s="439"/>
      <c r="AE3" s="439"/>
      <c r="AF3" s="1536"/>
      <c r="AG3" s="439"/>
      <c r="AH3" s="440"/>
    </row>
    <row r="4" spans="1:37">
      <c r="A4" s="438"/>
      <c r="B4" s="439"/>
      <c r="C4" s="439"/>
      <c r="D4" s="439"/>
      <c r="E4" s="439"/>
      <c r="F4" s="439"/>
      <c r="G4" s="439"/>
      <c r="H4" s="439"/>
      <c r="I4" s="439"/>
      <c r="J4" s="1822"/>
      <c r="K4" s="439"/>
      <c r="L4" s="439"/>
      <c r="M4" s="439"/>
      <c r="N4" s="439"/>
      <c r="O4" s="439"/>
      <c r="P4" s="439"/>
      <c r="Q4" s="439"/>
      <c r="R4" s="439"/>
      <c r="S4" s="439"/>
      <c r="T4" s="439"/>
      <c r="U4" s="439"/>
      <c r="V4" s="439"/>
      <c r="W4" s="439"/>
      <c r="X4" s="439"/>
      <c r="Y4" s="439"/>
      <c r="Z4" s="439"/>
      <c r="AA4" s="439"/>
      <c r="AB4" s="439"/>
      <c r="AC4" s="439"/>
      <c r="AD4" s="439"/>
      <c r="AE4" s="439"/>
      <c r="AF4" s="1536"/>
      <c r="AG4" s="439"/>
      <c r="AH4" s="440"/>
    </row>
    <row r="5" spans="1:37" ht="18">
      <c r="A5" s="438"/>
      <c r="B5" s="442" t="s">
        <v>0</v>
      </c>
      <c r="C5" s="439"/>
      <c r="D5" s="439"/>
      <c r="E5" s="439"/>
      <c r="F5" s="345"/>
      <c r="G5" s="439"/>
      <c r="H5" s="439"/>
      <c r="I5" s="439"/>
      <c r="J5" s="1822"/>
      <c r="K5" s="439"/>
      <c r="L5" s="439"/>
      <c r="M5" s="216"/>
      <c r="N5" s="399"/>
      <c r="O5" s="439"/>
      <c r="P5" s="439"/>
      <c r="Q5" s="439"/>
      <c r="R5" s="439"/>
      <c r="S5" s="439"/>
      <c r="T5" s="439"/>
      <c r="U5" s="439"/>
      <c r="V5" s="439"/>
      <c r="W5" s="439"/>
      <c r="X5" s="439"/>
      <c r="Y5" s="439"/>
      <c r="Z5" s="439"/>
      <c r="AA5" s="439"/>
      <c r="AB5" s="439"/>
      <c r="AC5" s="439"/>
      <c r="AD5" s="439"/>
      <c r="AE5" s="439"/>
      <c r="AF5" s="1536"/>
      <c r="AG5" s="439"/>
      <c r="AH5" s="440"/>
      <c r="AK5" s="446" t="s">
        <v>149</v>
      </c>
    </row>
    <row r="6" spans="1:37" ht="18">
      <c r="A6" s="438"/>
      <c r="B6" s="443" t="s">
        <v>148</v>
      </c>
      <c r="C6" s="439"/>
      <c r="D6" s="439"/>
      <c r="E6" s="439"/>
      <c r="F6" s="345"/>
      <c r="G6" s="439"/>
      <c r="H6" s="439" t="s">
        <v>15</v>
      </c>
      <c r="I6" s="439"/>
      <c r="J6" s="1822"/>
      <c r="K6" s="439"/>
      <c r="L6" s="439"/>
      <c r="M6" s="216"/>
      <c r="N6" s="399"/>
      <c r="O6" s="439"/>
      <c r="P6" s="439"/>
      <c r="Q6" s="439"/>
      <c r="R6" s="439"/>
      <c r="S6" s="439"/>
      <c r="T6" s="439"/>
      <c r="U6" s="439"/>
      <c r="V6" s="439"/>
      <c r="W6" s="439"/>
      <c r="X6" s="439"/>
      <c r="Y6" s="439"/>
      <c r="Z6" s="439"/>
      <c r="AA6" s="439"/>
      <c r="AB6" s="439"/>
      <c r="AC6" s="444"/>
      <c r="AD6" s="444"/>
      <c r="AE6" s="444"/>
      <c r="AF6" s="1825"/>
      <c r="AG6" s="445"/>
      <c r="AH6" s="440"/>
    </row>
    <row r="7" spans="1:37" ht="18">
      <c r="A7" s="438"/>
      <c r="B7" s="443" t="s">
        <v>150</v>
      </c>
      <c r="C7" s="439"/>
      <c r="D7" s="439"/>
      <c r="E7" s="439"/>
      <c r="F7" s="345"/>
      <c r="G7" s="439"/>
      <c r="H7" s="439"/>
      <c r="I7" s="439"/>
      <c r="J7" s="1822"/>
      <c r="K7" s="439"/>
      <c r="L7" s="439"/>
      <c r="M7" s="216"/>
      <c r="N7" s="399"/>
      <c r="O7" s="439"/>
      <c r="P7" s="439"/>
      <c r="Q7" s="439"/>
      <c r="R7" s="439"/>
      <c r="S7" s="439"/>
      <c r="T7" s="439"/>
      <c r="U7" s="439"/>
      <c r="V7" s="439"/>
      <c r="W7" s="439"/>
      <c r="X7" s="439"/>
      <c r="Y7" s="439"/>
      <c r="Z7" s="439"/>
      <c r="AA7" s="439"/>
      <c r="AB7" s="439"/>
      <c r="AD7" s="447"/>
      <c r="AE7" s="447"/>
      <c r="AH7" s="440"/>
    </row>
    <row r="8" spans="1:37" ht="18" customHeight="1">
      <c r="A8" s="438"/>
      <c r="B8" s="2505" t="str">
        <f>'Cashflow Governmental'!A6</f>
        <v>FISCAL YEAR 2018-2019</v>
      </c>
      <c r="C8" s="439"/>
      <c r="D8" s="439"/>
      <c r="E8" s="439"/>
      <c r="F8" s="345"/>
      <c r="G8" s="439"/>
      <c r="H8" s="439"/>
      <c r="I8" s="439"/>
      <c r="J8" s="1822"/>
      <c r="K8" s="439"/>
      <c r="L8" s="439"/>
      <c r="M8" s="216"/>
      <c r="N8" s="399"/>
      <c r="O8" s="439"/>
      <c r="P8" s="439"/>
      <c r="Q8" s="439"/>
      <c r="R8" s="439"/>
      <c r="S8" s="439"/>
      <c r="T8" s="439"/>
      <c r="U8" s="439"/>
      <c r="V8" s="439"/>
      <c r="W8" s="439"/>
      <c r="X8" s="439"/>
      <c r="Y8" s="439"/>
      <c r="Z8" s="439"/>
      <c r="AA8" s="439"/>
      <c r="AB8" s="439"/>
      <c r="AC8" s="439"/>
      <c r="AD8" s="439"/>
      <c r="AE8" s="439"/>
      <c r="AF8" s="1536"/>
      <c r="AG8" s="439"/>
      <c r="AH8" s="440"/>
    </row>
    <row r="9" spans="1:37" ht="15" customHeight="1">
      <c r="A9" s="438"/>
      <c r="B9" s="443" t="s">
        <v>957</v>
      </c>
      <c r="C9" s="439"/>
      <c r="D9" s="439"/>
      <c r="E9" s="439"/>
      <c r="F9" s="345"/>
      <c r="G9" s="439"/>
      <c r="H9" s="439"/>
      <c r="I9" s="439"/>
      <c r="J9" s="1822"/>
      <c r="K9" s="439"/>
      <c r="L9" s="399"/>
      <c r="M9" s="216"/>
      <c r="N9" s="439"/>
      <c r="O9" s="439"/>
      <c r="P9" s="3530"/>
      <c r="Q9" s="439"/>
      <c r="R9" s="439"/>
      <c r="S9" s="439"/>
      <c r="T9" s="439"/>
      <c r="U9" s="439"/>
      <c r="V9" s="439"/>
      <c r="W9" s="439"/>
      <c r="X9" s="439"/>
      <c r="Y9" s="439"/>
      <c r="Z9" s="439"/>
      <c r="AA9" s="439"/>
      <c r="AB9" s="439"/>
      <c r="AC9" s="439"/>
      <c r="AD9" s="439"/>
      <c r="AE9" s="439"/>
      <c r="AF9" s="1536"/>
      <c r="AG9" s="439"/>
      <c r="AH9" s="440"/>
    </row>
    <row r="10" spans="1:37" ht="15.75">
      <c r="A10" s="438"/>
      <c r="B10" s="439"/>
      <c r="C10" s="439"/>
      <c r="D10" s="439"/>
      <c r="E10" s="439"/>
      <c r="F10" s="345"/>
      <c r="G10" s="439"/>
      <c r="H10" s="439"/>
      <c r="I10" s="439"/>
      <c r="J10" s="1822"/>
      <c r="K10" s="439"/>
      <c r="L10" s="439"/>
      <c r="M10" s="439"/>
      <c r="N10" s="439"/>
      <c r="O10" s="439"/>
      <c r="P10" s="439"/>
      <c r="Q10" s="439"/>
      <c r="R10" s="439"/>
      <c r="S10" s="439"/>
      <c r="T10" s="439"/>
      <c r="U10" s="439"/>
      <c r="V10" s="439"/>
      <c r="W10" s="439"/>
      <c r="X10" s="439"/>
      <c r="Y10" s="439"/>
      <c r="Z10" s="439"/>
      <c r="AA10" s="439"/>
      <c r="AB10" s="3753" t="str">
        <f>+'Cashflow Governmental'!AB12:AJ12</f>
        <v>1 Month Ended April 30</v>
      </c>
      <c r="AC10" s="3753"/>
      <c r="AD10" s="3753"/>
      <c r="AE10" s="3753"/>
      <c r="AF10" s="3753"/>
      <c r="AG10" s="3753"/>
      <c r="AH10" s="3753"/>
      <c r="AI10" s="3753"/>
      <c r="AJ10" s="3753"/>
      <c r="AK10" s="3753"/>
    </row>
    <row r="11" spans="1:37" ht="15" customHeight="1">
      <c r="A11" s="438"/>
      <c r="B11" s="217"/>
      <c r="C11" s="217"/>
      <c r="D11" s="2574" t="str">
        <f>'Cashflow Governmental'!C13</f>
        <v>2018</v>
      </c>
      <c r="E11" s="871"/>
      <c r="F11" s="871"/>
      <c r="G11" s="871"/>
      <c r="H11" s="871"/>
      <c r="I11" s="871"/>
      <c r="J11" s="871"/>
      <c r="K11" s="871"/>
      <c r="L11" s="871"/>
      <c r="M11" s="871"/>
      <c r="N11" s="871"/>
      <c r="O11" s="871"/>
      <c r="P11" s="871"/>
      <c r="Q11" s="871"/>
      <c r="R11" s="871"/>
      <c r="S11" s="871"/>
      <c r="T11" s="871"/>
      <c r="U11" s="871"/>
      <c r="V11" s="2574" t="str">
        <f>'Cashflow Governmental'!U13</f>
        <v>2019</v>
      </c>
      <c r="W11" s="871"/>
      <c r="X11" s="871"/>
      <c r="Y11" s="871"/>
      <c r="Z11" s="871"/>
      <c r="AA11" s="399"/>
      <c r="AB11" s="216"/>
      <c r="AC11" s="400"/>
      <c r="AD11" s="458"/>
      <c r="AE11" s="458"/>
      <c r="AF11" s="1810"/>
      <c r="AG11" s="400"/>
      <c r="AH11" s="1295"/>
      <c r="AI11" s="1296" t="s">
        <v>8</v>
      </c>
      <c r="AJ11" s="400"/>
      <c r="AK11" s="1297" t="s">
        <v>9</v>
      </c>
    </row>
    <row r="12" spans="1:37" ht="15" customHeight="1">
      <c r="A12" s="438"/>
      <c r="B12" s="217"/>
      <c r="C12" s="217"/>
      <c r="D12" s="1279" t="s">
        <v>126</v>
      </c>
      <c r="E12" s="216"/>
      <c r="F12" s="1298" t="s">
        <v>127</v>
      </c>
      <c r="G12" s="216"/>
      <c r="H12" s="1298" t="s">
        <v>128</v>
      </c>
      <c r="I12" s="216"/>
      <c r="J12" s="1823" t="s">
        <v>129</v>
      </c>
      <c r="K12" s="216"/>
      <c r="L12" s="1299" t="s">
        <v>130</v>
      </c>
      <c r="M12" s="216"/>
      <c r="N12" s="1299" t="s">
        <v>145</v>
      </c>
      <c r="O12" s="216"/>
      <c r="P12" s="1299" t="s">
        <v>146</v>
      </c>
      <c r="Q12" s="216"/>
      <c r="R12" s="1299" t="s">
        <v>133</v>
      </c>
      <c r="S12" s="216"/>
      <c r="T12" s="1299" t="s">
        <v>134</v>
      </c>
      <c r="U12" s="216"/>
      <c r="V12" s="1299" t="s">
        <v>135</v>
      </c>
      <c r="W12" s="216"/>
      <c r="X12" s="1299" t="s">
        <v>136</v>
      </c>
      <c r="Y12" s="216"/>
      <c r="Z12" s="1299" t="s">
        <v>188</v>
      </c>
      <c r="AA12" s="1297"/>
      <c r="AB12" s="216"/>
      <c r="AC12" s="1300" t="str">
        <f>'Cashflow Governmental'!AB14</f>
        <v>2018</v>
      </c>
      <c r="AD12" s="216" t="s">
        <v>15</v>
      </c>
      <c r="AE12" s="216"/>
      <c r="AF12" s="1826" t="str">
        <f>'Cashflow Governmental'!AE14</f>
        <v>2017</v>
      </c>
      <c r="AG12" s="1301"/>
      <c r="AH12" s="1295"/>
      <c r="AI12" s="1302" t="s">
        <v>12</v>
      </c>
      <c r="AJ12" s="399"/>
      <c r="AK12" s="1303" t="s">
        <v>13</v>
      </c>
    </row>
    <row r="13" spans="1:37" ht="5.25" customHeight="1">
      <c r="A13" s="438"/>
      <c r="B13" s="217"/>
      <c r="C13" s="217"/>
      <c r="D13" s="230" t="s">
        <v>15</v>
      </c>
      <c r="E13" s="217"/>
      <c r="F13" s="449"/>
      <c r="G13" s="217"/>
      <c r="H13" s="230"/>
      <c r="I13" s="217"/>
      <c r="J13" s="315"/>
      <c r="K13" s="217"/>
      <c r="L13" s="230"/>
      <c r="M13" s="217"/>
      <c r="N13" s="230"/>
      <c r="O13" s="217"/>
      <c r="P13" s="230"/>
      <c r="Q13" s="217"/>
      <c r="R13" s="230"/>
      <c r="S13" s="217"/>
      <c r="T13" s="230"/>
      <c r="U13" s="217"/>
      <c r="V13" s="230"/>
      <c r="W13" s="217"/>
      <c r="X13" s="230"/>
      <c r="Y13" s="217"/>
      <c r="Z13" s="230"/>
      <c r="AA13" s="224"/>
      <c r="AB13" s="217"/>
      <c r="AC13" s="1827"/>
      <c r="AD13" s="295"/>
      <c r="AE13" s="295"/>
      <c r="AF13" s="1827"/>
      <c r="AG13" s="224"/>
      <c r="AH13" s="450"/>
    </row>
    <row r="14" spans="1:37" ht="15" customHeight="1">
      <c r="A14" s="340"/>
      <c r="B14" s="222" t="s">
        <v>138</v>
      </c>
      <c r="C14" s="218"/>
      <c r="D14" s="543">
        <v>9445</v>
      </c>
      <c r="E14" s="451"/>
      <c r="F14" s="283"/>
      <c r="G14" s="451"/>
      <c r="H14" s="283"/>
      <c r="I14" s="451"/>
      <c r="J14" s="283"/>
      <c r="K14" s="451"/>
      <c r="L14" s="283"/>
      <c r="M14" s="451"/>
      <c r="N14" s="283"/>
      <c r="O14" s="451"/>
      <c r="P14" s="283"/>
      <c r="Q14" s="451"/>
      <c r="R14" s="324"/>
      <c r="S14" s="451"/>
      <c r="T14" s="283"/>
      <c r="U14" s="451"/>
      <c r="V14" s="283"/>
      <c r="W14" s="283"/>
      <c r="X14" s="283"/>
      <c r="Y14" s="451"/>
      <c r="Z14" s="283"/>
      <c r="AA14" s="451"/>
      <c r="AB14" s="452"/>
      <c r="AC14" s="324">
        <f>D14</f>
        <v>9445</v>
      </c>
      <c r="AD14" s="470"/>
      <c r="AE14" s="3467"/>
      <c r="AF14" s="2742">
        <v>7748.6</v>
      </c>
      <c r="AG14" s="451"/>
      <c r="AH14" s="453"/>
      <c r="AI14" s="283">
        <f>ROUND(SUM(+AC14-AF14),1)</f>
        <v>1696.4</v>
      </c>
      <c r="AJ14" s="2280"/>
      <c r="AK14" s="2315">
        <f>ROUND(IF(AF14=0,0,AI14/ABS(AF14)),3)</f>
        <v>0.219</v>
      </c>
    </row>
    <row r="15" spans="1:37" ht="15" customHeight="1">
      <c r="A15" s="340"/>
      <c r="B15" s="218"/>
      <c r="C15" s="218"/>
      <c r="D15" s="218"/>
      <c r="E15" s="218"/>
      <c r="F15" s="369"/>
      <c r="G15" s="218"/>
      <c r="H15" s="369"/>
      <c r="I15" s="218"/>
      <c r="J15" s="307"/>
      <c r="K15" s="218"/>
      <c r="L15" s="369"/>
      <c r="M15" s="218"/>
      <c r="N15" s="217"/>
      <c r="O15" s="218"/>
      <c r="P15" s="217"/>
      <c r="Q15" s="218"/>
      <c r="R15" s="217"/>
      <c r="S15" s="218"/>
      <c r="T15" s="217"/>
      <c r="U15" s="218"/>
      <c r="V15" s="217"/>
      <c r="W15" s="218"/>
      <c r="X15" s="217"/>
      <c r="Y15" s="218"/>
      <c r="Z15" s="217"/>
      <c r="AA15" s="217"/>
      <c r="AB15" s="232"/>
      <c r="AC15" s="217"/>
      <c r="AD15" s="218"/>
      <c r="AE15" s="232"/>
      <c r="AF15" s="295"/>
      <c r="AG15" s="217"/>
      <c r="AH15" s="450"/>
      <c r="AI15" s="439"/>
      <c r="AJ15" s="1781"/>
      <c r="AK15" s="1349"/>
    </row>
    <row r="16" spans="1:37" ht="15" customHeight="1">
      <c r="A16" s="340"/>
      <c r="B16" s="216" t="s">
        <v>14</v>
      </c>
      <c r="C16" s="218"/>
      <c r="D16" s="218"/>
      <c r="E16" s="218"/>
      <c r="F16" s="217"/>
      <c r="G16" s="218"/>
      <c r="H16" s="217"/>
      <c r="I16" s="218"/>
      <c r="J16" s="307"/>
      <c r="K16" s="218"/>
      <c r="L16" s="217"/>
      <c r="M16" s="218"/>
      <c r="N16" s="217"/>
      <c r="O16" s="218"/>
      <c r="P16" s="217"/>
      <c r="Q16" s="218"/>
      <c r="R16" s="217"/>
      <c r="S16" s="218"/>
      <c r="T16" s="217"/>
      <c r="U16" s="218"/>
      <c r="V16" s="217"/>
      <c r="W16" s="218"/>
      <c r="X16" s="217"/>
      <c r="Y16" s="218"/>
      <c r="Z16" s="217"/>
      <c r="AA16" s="217"/>
      <c r="AB16" s="232"/>
      <c r="AC16" s="217"/>
      <c r="AD16" s="218"/>
      <c r="AE16" s="232"/>
      <c r="AF16" s="295"/>
      <c r="AG16" s="217"/>
      <c r="AH16" s="450"/>
      <c r="AI16" s="439"/>
      <c r="AJ16" s="1781"/>
      <c r="AK16" s="1349"/>
    </row>
    <row r="17" spans="1:38" ht="15" customHeight="1">
      <c r="A17" s="340"/>
      <c r="B17" s="467" t="s">
        <v>1193</v>
      </c>
      <c r="C17" s="218"/>
      <c r="D17" s="218"/>
      <c r="E17" s="218"/>
      <c r="F17" s="217"/>
      <c r="G17" s="218"/>
      <c r="H17" s="217"/>
      <c r="I17" s="218"/>
      <c r="J17" s="307"/>
      <c r="K17" s="218"/>
      <c r="L17" s="217"/>
      <c r="M17" s="218"/>
      <c r="N17" s="217"/>
      <c r="O17" s="218"/>
      <c r="P17" s="217"/>
      <c r="Q17" s="218"/>
      <c r="R17" s="217"/>
      <c r="S17" s="218"/>
      <c r="T17" s="217"/>
      <c r="U17" s="218"/>
      <c r="V17" s="217"/>
      <c r="W17" s="218"/>
      <c r="X17" s="217"/>
      <c r="Y17" s="218"/>
      <c r="Z17" s="217"/>
      <c r="AA17" s="217"/>
      <c r="AB17" s="232"/>
      <c r="AC17" s="217"/>
      <c r="AD17" s="218"/>
      <c r="AE17" s="232"/>
      <c r="AF17" s="295"/>
      <c r="AG17" s="217"/>
      <c r="AH17" s="450"/>
      <c r="AI17" s="439"/>
      <c r="AJ17" s="1781"/>
      <c r="AK17" s="1349"/>
    </row>
    <row r="18" spans="1:38" ht="15" customHeight="1">
      <c r="A18" s="340"/>
      <c r="B18" s="1768" t="s">
        <v>1264</v>
      </c>
      <c r="C18" s="218"/>
      <c r="D18" s="218"/>
      <c r="E18" s="218"/>
      <c r="F18" s="217"/>
      <c r="G18" s="218"/>
      <c r="H18" s="217"/>
      <c r="I18" s="218"/>
      <c r="J18" s="307"/>
      <c r="K18" s="218"/>
      <c r="L18" s="217"/>
      <c r="M18" s="218"/>
      <c r="N18" s="217"/>
      <c r="O18" s="218"/>
      <c r="P18" s="217"/>
      <c r="Q18" s="218"/>
      <c r="R18" s="217"/>
      <c r="S18" s="218"/>
      <c r="T18" s="217"/>
      <c r="U18" s="218"/>
      <c r="V18" s="217"/>
      <c r="W18" s="218"/>
      <c r="X18" s="217"/>
      <c r="Y18" s="218"/>
      <c r="Z18" s="217"/>
      <c r="AA18" s="217"/>
      <c r="AB18" s="232"/>
      <c r="AC18" s="217"/>
      <c r="AD18" s="218"/>
      <c r="AE18" s="232"/>
      <c r="AF18" s="295"/>
      <c r="AG18" s="217"/>
      <c r="AH18" s="450"/>
      <c r="AI18" s="439"/>
      <c r="AJ18" s="1781"/>
      <c r="AK18" s="1349"/>
    </row>
    <row r="19" spans="1:38" s="1824" customFormat="1" ht="15" customHeight="1">
      <c r="A19" s="1792"/>
      <c r="B19" s="2930" t="s">
        <v>1199</v>
      </c>
      <c r="C19" s="296"/>
      <c r="D19" s="2914">
        <f>$AC19</f>
        <v>2930.1</v>
      </c>
      <c r="E19" s="1401"/>
      <c r="F19" s="2501"/>
      <c r="G19" s="1401"/>
      <c r="H19" s="2501"/>
      <c r="I19" s="3042"/>
      <c r="J19" s="1544"/>
      <c r="K19" s="2509"/>
      <c r="L19" s="2743"/>
      <c r="M19" s="2509"/>
      <c r="N19" s="2743"/>
      <c r="O19" s="2509"/>
      <c r="P19" s="2914"/>
      <c r="Q19" s="3314"/>
      <c r="R19" s="2914"/>
      <c r="S19" s="3314"/>
      <c r="T19" s="2914"/>
      <c r="U19" s="3314"/>
      <c r="V19" s="2914"/>
      <c r="W19" s="3314"/>
      <c r="X19" s="2914"/>
      <c r="Y19" s="3314"/>
      <c r="Z19" s="2914"/>
      <c r="AA19" s="3315"/>
      <c r="AB19" s="3318">
        <v>0</v>
      </c>
      <c r="AC19" s="2948">
        <v>2930.1</v>
      </c>
      <c r="AD19" s="3369"/>
      <c r="AE19" s="3318">
        <f>ROUND(SUM(D19:AB19),1)</f>
        <v>2930.1</v>
      </c>
      <c r="AF19" s="2948">
        <v>2755.8</v>
      </c>
      <c r="AG19" s="295"/>
      <c r="AH19" s="2993"/>
      <c r="AI19" s="1544">
        <f>ROUND(SUM(+AC19-AF19),1)</f>
        <v>174.3</v>
      </c>
      <c r="AJ19" s="2994"/>
      <c r="AK19" s="2844">
        <f>ROUND(IF(AF19=0,0,AI19/ABS(AF19)),3)</f>
        <v>6.3E-2</v>
      </c>
      <c r="AL19" s="398"/>
    </row>
    <row r="20" spans="1:38" s="1824" customFormat="1" ht="15" customHeight="1">
      <c r="A20" s="1792"/>
      <c r="B20" s="2930" t="s">
        <v>1200</v>
      </c>
      <c r="C20" s="296"/>
      <c r="D20" s="2914">
        <f t="shared" ref="D20:D23" si="0">$AC20</f>
        <v>4356</v>
      </c>
      <c r="E20" s="2501"/>
      <c r="F20" s="2501"/>
      <c r="G20" s="2501"/>
      <c r="H20" s="2501"/>
      <c r="I20" s="1212"/>
      <c r="J20" s="1544"/>
      <c r="K20" s="2509"/>
      <c r="L20" s="2743"/>
      <c r="M20" s="2509"/>
      <c r="N20" s="2743"/>
      <c r="O20" s="2509"/>
      <c r="P20" s="2914"/>
      <c r="Q20" s="3314"/>
      <c r="R20" s="2914"/>
      <c r="S20" s="3314"/>
      <c r="T20" s="2914"/>
      <c r="U20" s="3314"/>
      <c r="V20" s="2914"/>
      <c r="W20" s="3314"/>
      <c r="X20" s="2914"/>
      <c r="Y20" s="3314"/>
      <c r="Z20" s="2914"/>
      <c r="AA20" s="3315"/>
      <c r="AB20" s="3318">
        <v>0</v>
      </c>
      <c r="AC20" s="2948">
        <v>4356</v>
      </c>
      <c r="AD20" s="3369"/>
      <c r="AE20" s="3318">
        <f>ROUND(SUM(D20:AB20),1)</f>
        <v>4356</v>
      </c>
      <c r="AF20" s="2948">
        <v>4168.2</v>
      </c>
      <c r="AG20" s="295"/>
      <c r="AH20" s="2993"/>
      <c r="AI20" s="1544">
        <f>ROUND(SUM(+AC20-AF20),1)</f>
        <v>187.8</v>
      </c>
      <c r="AJ20" s="2994"/>
      <c r="AK20" s="2844">
        <f>ROUND(IF(AF20=0,0,AI20/ABS(AF20)),3)</f>
        <v>4.4999999999999998E-2</v>
      </c>
      <c r="AL20" s="398"/>
    </row>
    <row r="21" spans="1:38" s="1824" customFormat="1" ht="15" customHeight="1">
      <c r="A21" s="1792"/>
      <c r="B21" s="2930" t="s">
        <v>1201</v>
      </c>
      <c r="C21" s="296"/>
      <c r="D21" s="2914">
        <f t="shared" si="0"/>
        <v>1639.5</v>
      </c>
      <c r="E21" s="2501"/>
      <c r="F21" s="2501"/>
      <c r="G21" s="2501"/>
      <c r="H21" s="2501"/>
      <c r="I21" s="1212"/>
      <c r="J21" s="1544"/>
      <c r="K21" s="2509"/>
      <c r="L21" s="2743"/>
      <c r="M21" s="2509"/>
      <c r="N21" s="2743"/>
      <c r="O21" s="2509"/>
      <c r="P21" s="2914"/>
      <c r="Q21" s="3314"/>
      <c r="R21" s="2914"/>
      <c r="S21" s="3314"/>
      <c r="T21" s="2914"/>
      <c r="U21" s="3314"/>
      <c r="V21" s="2914"/>
      <c r="W21" s="3314"/>
      <c r="X21" s="2914"/>
      <c r="Y21" s="3314"/>
      <c r="Z21" s="2914"/>
      <c r="AA21" s="3315"/>
      <c r="AB21" s="3318">
        <v>0</v>
      </c>
      <c r="AC21" s="2948">
        <v>1639.5</v>
      </c>
      <c r="AD21" s="3369"/>
      <c r="AE21" s="3318">
        <f>ROUND(SUM(D21:AB21),1)</f>
        <v>1639.5</v>
      </c>
      <c r="AF21" s="2948">
        <v>1572.8</v>
      </c>
      <c r="AG21" s="295"/>
      <c r="AH21" s="2993"/>
      <c r="AI21" s="1544">
        <f>ROUND(SUM(+AC21-AF21),1)</f>
        <v>66.7</v>
      </c>
      <c r="AJ21" s="2994"/>
      <c r="AK21" s="2844">
        <f>ROUND(IF(AF21=0,0,AI21/ABS(AF21)),3)</f>
        <v>4.2000000000000003E-2</v>
      </c>
      <c r="AL21" s="398"/>
    </row>
    <row r="22" spans="1:38" s="1824" customFormat="1" ht="15" customHeight="1">
      <c r="A22" s="1792"/>
      <c r="B22" s="2992" t="s">
        <v>1202</v>
      </c>
      <c r="C22" s="296"/>
      <c r="D22" s="2914">
        <f t="shared" si="0"/>
        <v>-279.89999999999998</v>
      </c>
      <c r="E22" s="2501"/>
      <c r="F22" s="2501"/>
      <c r="G22" s="2501"/>
      <c r="H22" s="2501"/>
      <c r="I22" s="1212"/>
      <c r="J22" s="1544"/>
      <c r="K22" s="2509"/>
      <c r="L22" s="2743"/>
      <c r="M22" s="2509"/>
      <c r="N22" s="2743"/>
      <c r="O22" s="2509"/>
      <c r="P22" s="2914"/>
      <c r="Q22" s="3314"/>
      <c r="R22" s="2914"/>
      <c r="S22" s="3314"/>
      <c r="T22" s="2914"/>
      <c r="U22" s="3314"/>
      <c r="V22" s="2914"/>
      <c r="W22" s="3314"/>
      <c r="X22" s="2914"/>
      <c r="Y22" s="3314"/>
      <c r="Z22" s="2914"/>
      <c r="AA22" s="3315"/>
      <c r="AB22" s="3318">
        <v>0</v>
      </c>
      <c r="AC22" s="2948">
        <v>-279.89999999999998</v>
      </c>
      <c r="AD22" s="3369"/>
      <c r="AE22" s="3318">
        <f>ROUND(SUM(D22:AB22),1)</f>
        <v>-279.89999999999998</v>
      </c>
      <c r="AF22" s="2948">
        <v>-201.5</v>
      </c>
      <c r="AG22" s="295"/>
      <c r="AH22" s="2993"/>
      <c r="AI22" s="1544">
        <f>-ROUND(SUM(+AC22-AF22),1)</f>
        <v>78.400000000000006</v>
      </c>
      <c r="AJ22" s="2994"/>
      <c r="AK22" s="2843">
        <f>ROUND(IF(AF22=0,0,AI22/ABS(AF22)),3)</f>
        <v>0.38900000000000001</v>
      </c>
      <c r="AL22" s="398"/>
    </row>
    <row r="23" spans="1:38" s="1824" customFormat="1" ht="15" customHeight="1">
      <c r="A23" s="1792"/>
      <c r="B23" s="2992" t="s">
        <v>1203</v>
      </c>
      <c r="C23" s="296"/>
      <c r="D23" s="2914">
        <f t="shared" si="0"/>
        <v>132.5</v>
      </c>
      <c r="E23" s="2501"/>
      <c r="F23" s="2501"/>
      <c r="G23" s="2501"/>
      <c r="H23" s="2501"/>
      <c r="I23" s="1212"/>
      <c r="J23" s="1544"/>
      <c r="K23" s="2509"/>
      <c r="L23" s="2743"/>
      <c r="M23" s="2509"/>
      <c r="N23" s="2743"/>
      <c r="O23" s="2509"/>
      <c r="P23" s="2914"/>
      <c r="Q23" s="3314"/>
      <c r="R23" s="2914"/>
      <c r="S23" s="3314"/>
      <c r="T23" s="2914"/>
      <c r="U23" s="3314"/>
      <c r="V23" s="2914"/>
      <c r="W23" s="3314"/>
      <c r="X23" s="2914"/>
      <c r="Y23" s="3314"/>
      <c r="Z23" s="2914"/>
      <c r="AA23" s="3315"/>
      <c r="AB23" s="3318">
        <v>0</v>
      </c>
      <c r="AC23" s="2948">
        <v>132.5</v>
      </c>
      <c r="AD23" s="3369"/>
      <c r="AE23" s="3318">
        <f>ROUND(SUM(D23:AB23),1)</f>
        <v>132.5</v>
      </c>
      <c r="AF23" s="2948">
        <v>154</v>
      </c>
      <c r="AG23" s="295"/>
      <c r="AH23" s="2993"/>
      <c r="AI23" s="1544">
        <f>ROUND(SUM(+AC23-AF23),1)</f>
        <v>-21.5</v>
      </c>
      <c r="AJ23" s="2994"/>
      <c r="AK23" s="2844">
        <f>ROUND(IF(AF23=0,0,AI23/ABS(AF23)),3)</f>
        <v>-0.14000000000000001</v>
      </c>
      <c r="AL23" s="398"/>
    </row>
    <row r="24" spans="1:38" ht="15" customHeight="1">
      <c r="A24" s="340"/>
      <c r="B24" s="1133" t="s">
        <v>1204</v>
      </c>
      <c r="C24" s="218"/>
      <c r="D24" s="3043">
        <f>ROUND(SUM(D19:D23),1)</f>
        <v>8778.2000000000007</v>
      </c>
      <c r="E24" s="1212"/>
      <c r="F24" s="3043">
        <f>ROUND(SUM(F19:F23),1)</f>
        <v>0</v>
      </c>
      <c r="G24" s="1212"/>
      <c r="H24" s="3043">
        <f>ROUND(SUM(H19:H23),1)</f>
        <v>0</v>
      </c>
      <c r="I24" s="1212"/>
      <c r="J24" s="3044">
        <f>ROUND(SUM(J19:J23),1)</f>
        <v>0</v>
      </c>
      <c r="K24" s="218"/>
      <c r="L24" s="463">
        <f>ROUND(SUM(L19:L23),1)</f>
        <v>0</v>
      </c>
      <c r="M24" s="218"/>
      <c r="N24" s="463">
        <f>ROUND(SUM(N19:N23),1)</f>
        <v>0</v>
      </c>
      <c r="O24" s="254"/>
      <c r="P24" s="3370">
        <f>ROUND(SUM(P19:P23),1)</f>
        <v>0</v>
      </c>
      <c r="Q24" s="3322"/>
      <c r="R24" s="3370">
        <f>ROUND(SUM(R19:R23),1)</f>
        <v>0</v>
      </c>
      <c r="S24" s="3322"/>
      <c r="T24" s="3370">
        <f>ROUND(SUM(T19:T23),1)</f>
        <v>0</v>
      </c>
      <c r="U24" s="3322"/>
      <c r="V24" s="3370">
        <f>ROUND(SUM(V19:V23),1)</f>
        <v>0</v>
      </c>
      <c r="W24" s="3322"/>
      <c r="X24" s="3370">
        <f>ROUND(SUM(X19:X23),1)</f>
        <v>0</v>
      </c>
      <c r="Y24" s="3322"/>
      <c r="Z24" s="3370">
        <f>ROUND(SUM(Z19:Z23),1)</f>
        <v>0</v>
      </c>
      <c r="AA24" s="3341"/>
      <c r="AB24" s="3371"/>
      <c r="AC24" s="3526">
        <f>ROUND(SUM(AC19:AC23),1)</f>
        <v>8778.2000000000007</v>
      </c>
      <c r="AD24" s="3372"/>
      <c r="AE24" s="3371"/>
      <c r="AF24" s="2347">
        <f>ROUND(SUM(AF19:AF23),1)</f>
        <v>8449.2999999999993</v>
      </c>
      <c r="AG24" s="217"/>
      <c r="AH24" s="450"/>
      <c r="AI24" s="463">
        <f>ROUND(SUM(AC24-AF24),1)</f>
        <v>328.9</v>
      </c>
      <c r="AJ24" s="1781"/>
      <c r="AK24" s="1791">
        <f>ROUND(SUM(+AI24/AF24),3)</f>
        <v>3.9E-2</v>
      </c>
    </row>
    <row r="25" spans="1:38" s="1824" customFormat="1" ht="15" customHeight="1">
      <c r="A25" s="1792"/>
      <c r="B25" s="2992" t="s">
        <v>1206</v>
      </c>
      <c r="C25" s="296"/>
      <c r="D25" s="2914">
        <f>$AC25</f>
        <v>0</v>
      </c>
      <c r="E25" s="2501"/>
      <c r="F25" s="2501"/>
      <c r="G25" s="2501"/>
      <c r="H25" s="2501"/>
      <c r="I25" s="1212"/>
      <c r="J25" s="1544"/>
      <c r="K25" s="2509"/>
      <c r="L25" s="2743"/>
      <c r="M25" s="2509"/>
      <c r="N25" s="2743"/>
      <c r="O25" s="2509"/>
      <c r="P25" s="2914"/>
      <c r="Q25" s="3314"/>
      <c r="R25" s="2914"/>
      <c r="S25" s="3314"/>
      <c r="T25" s="2914"/>
      <c r="U25" s="3314"/>
      <c r="V25" s="2914"/>
      <c r="W25" s="3314"/>
      <c r="X25" s="2914"/>
      <c r="Y25" s="3314"/>
      <c r="Z25" s="2914"/>
      <c r="AA25" s="3315"/>
      <c r="AB25" s="3318">
        <v>0</v>
      </c>
      <c r="AC25" s="2948">
        <v>0</v>
      </c>
      <c r="AD25" s="3369"/>
      <c r="AE25" s="3318">
        <f>ROUND(SUM(D25:AB25),1)</f>
        <v>0</v>
      </c>
      <c r="AF25" s="2948">
        <v>0</v>
      </c>
      <c r="AG25" s="295"/>
      <c r="AH25" s="2993"/>
      <c r="AI25" s="1544">
        <f>-ROUND(SUM(+AC25-AF25),1)</f>
        <v>0</v>
      </c>
      <c r="AJ25" s="2994"/>
      <c r="AK25" s="2843">
        <f>ROUND(IF(AF25=0,0,AI25/ABS(AF25)),3)</f>
        <v>0</v>
      </c>
      <c r="AL25" s="398"/>
    </row>
    <row r="26" spans="1:38" s="1824" customFormat="1" ht="15" customHeight="1">
      <c r="A26" s="1792"/>
      <c r="B26" s="2992" t="s">
        <v>1207</v>
      </c>
      <c r="C26" s="296"/>
      <c r="D26" s="2914">
        <f t="shared" ref="D26:D27" si="1">$AC26</f>
        <v>-2928.1</v>
      </c>
      <c r="E26" s="2501"/>
      <c r="F26" s="2501"/>
      <c r="G26" s="2501"/>
      <c r="H26" s="2501"/>
      <c r="I26" s="1212"/>
      <c r="J26" s="1544"/>
      <c r="K26" s="2509"/>
      <c r="L26" s="2743"/>
      <c r="M26" s="2509"/>
      <c r="N26" s="2743"/>
      <c r="O26" s="2509"/>
      <c r="P26" s="2914"/>
      <c r="Q26" s="3314"/>
      <c r="R26" s="2914"/>
      <c r="S26" s="3314"/>
      <c r="T26" s="2914"/>
      <c r="U26" s="3314"/>
      <c r="V26" s="2914"/>
      <c r="W26" s="3314"/>
      <c r="X26" s="2914"/>
      <c r="Y26" s="3314"/>
      <c r="Z26" s="2914"/>
      <c r="AA26" s="3315"/>
      <c r="AB26" s="3318">
        <v>0</v>
      </c>
      <c r="AC26" s="2948">
        <v>-2928.1</v>
      </c>
      <c r="AD26" s="3369"/>
      <c r="AE26" s="3318">
        <f>ROUND(SUM(D26:AB26),1)</f>
        <v>-2928.1</v>
      </c>
      <c r="AF26" s="2948">
        <v>-1250.5</v>
      </c>
      <c r="AG26" s="295"/>
      <c r="AH26" s="2993"/>
      <c r="AI26" s="1544">
        <f>-ROUND(SUM(+AC26-AF26),1)</f>
        <v>1677.6</v>
      </c>
      <c r="AJ26" s="2994"/>
      <c r="AK26" s="2843">
        <f>ROUND(IF(AF26=0,0,AI26/ABS(AF26)),3)</f>
        <v>1.3420000000000001</v>
      </c>
      <c r="AL26" s="398"/>
    </row>
    <row r="27" spans="1:38" s="1824" customFormat="1" ht="15" customHeight="1">
      <c r="A27" s="1792"/>
      <c r="B27" s="2930" t="s">
        <v>1208</v>
      </c>
      <c r="C27" s="296"/>
      <c r="D27" s="2914">
        <f t="shared" si="1"/>
        <v>-2922</v>
      </c>
      <c r="E27" s="2501"/>
      <c r="F27" s="2501"/>
      <c r="G27" s="2501"/>
      <c r="H27" s="2501"/>
      <c r="I27" s="1212"/>
      <c r="J27" s="1544"/>
      <c r="K27" s="2509"/>
      <c r="L27" s="2743"/>
      <c r="M27" s="2509"/>
      <c r="N27" s="2743"/>
      <c r="O27" s="2509"/>
      <c r="P27" s="2914"/>
      <c r="Q27" s="3314"/>
      <c r="R27" s="2914"/>
      <c r="S27" s="3314"/>
      <c r="T27" s="2914"/>
      <c r="U27" s="3314"/>
      <c r="V27" s="2914"/>
      <c r="W27" s="3314"/>
      <c r="X27" s="2914"/>
      <c r="Y27" s="3314"/>
      <c r="Z27" s="2914"/>
      <c r="AA27" s="3315"/>
      <c r="AB27" s="3318">
        <v>0</v>
      </c>
      <c r="AC27" s="2948">
        <v>-2922</v>
      </c>
      <c r="AD27" s="3369"/>
      <c r="AE27" s="3318">
        <f>ROUND(SUM(D27:AB27),1)</f>
        <v>-2922</v>
      </c>
      <c r="AF27" s="2948">
        <v>-3447.5</v>
      </c>
      <c r="AG27" s="295"/>
      <c r="AH27" s="2993"/>
      <c r="AI27" s="1544">
        <f>-ROUND(SUM(+AC27-AF27),1)</f>
        <v>-525.5</v>
      </c>
      <c r="AJ27" s="2994"/>
      <c r="AK27" s="2843">
        <f>ROUND(IF(AF27=0,0,AI27/ABS(AF27)),3)</f>
        <v>-0.152</v>
      </c>
      <c r="AL27" s="398"/>
    </row>
    <row r="28" spans="1:38" ht="15" customHeight="1">
      <c r="A28" s="340"/>
      <c r="B28" s="555" t="s">
        <v>1205</v>
      </c>
      <c r="C28" s="217"/>
      <c r="D28" s="3045">
        <f>ROUND(SUM(D24:D27),1)</f>
        <v>2928.1</v>
      </c>
      <c r="E28" s="2502"/>
      <c r="F28" s="3045">
        <f>ROUND(SUM(F24+F25+F26+F27),1)</f>
        <v>0</v>
      </c>
      <c r="G28" s="2502"/>
      <c r="H28" s="3045">
        <f>ROUND(SUM(H24+H25+H26+H27),1)</f>
        <v>0</v>
      </c>
      <c r="I28" s="2502"/>
      <c r="J28" s="3046">
        <f>ROUND(SUM(J24+J25+J26+J27),1)</f>
        <v>0</v>
      </c>
      <c r="K28" s="254"/>
      <c r="L28" s="463">
        <f>ROUND(SUM(L24+L25+L26+L27),1)</f>
        <v>0</v>
      </c>
      <c r="M28" s="254"/>
      <c r="N28" s="463">
        <f>ROUND(SUM(N24+N25+N26+N27),1)</f>
        <v>0</v>
      </c>
      <c r="O28" s="254"/>
      <c r="P28" s="3370">
        <f>ROUND(SUM(P24+P25+P26+P27),1)</f>
        <v>0</v>
      </c>
      <c r="Q28" s="3322"/>
      <c r="R28" s="3370">
        <f>ROUND(SUM(R24+R25+R26+R27),1)</f>
        <v>0</v>
      </c>
      <c r="S28" s="3322"/>
      <c r="T28" s="3370">
        <f>ROUND(SUM(T24+T25+T26+T27),1)</f>
        <v>0</v>
      </c>
      <c r="U28" s="3322"/>
      <c r="V28" s="3370">
        <f>ROUND(SUM(V24+V25+V26+V27),1)</f>
        <v>0</v>
      </c>
      <c r="W28" s="3322"/>
      <c r="X28" s="3370">
        <f>ROUND(SUM(X24+X25+X26+X27),1)</f>
        <v>0</v>
      </c>
      <c r="Y28" s="3322"/>
      <c r="Z28" s="3370">
        <f>ROUND(SUM(Z24+Z25+Z26+Z27),1)</f>
        <v>0</v>
      </c>
      <c r="AA28" s="2350"/>
      <c r="AB28" s="3371"/>
      <c r="AC28" s="3526">
        <f>ROUND(SUM(AC24+AC25+AC26+AC27),1)</f>
        <v>2928.1</v>
      </c>
      <c r="AD28" s="3322"/>
      <c r="AE28" s="3361"/>
      <c r="AF28" s="2347">
        <f>ROUND(SUM(AF24+AF25+AF26+AF27),1)</f>
        <v>3751.3</v>
      </c>
      <c r="AG28" s="254"/>
      <c r="AH28" s="1138"/>
      <c r="AI28" s="463">
        <f>ROUND(SUM(AI24-AI25-AI26-AI27),1)</f>
        <v>-823.2</v>
      </c>
      <c r="AJ28" s="1608"/>
      <c r="AK28" s="1791">
        <f>ROUND(SUM(+AI28/AF28),3)</f>
        <v>-0.219</v>
      </c>
    </row>
    <row r="29" spans="1:38" ht="15" customHeight="1">
      <c r="A29" s="340"/>
      <c r="B29" s="1768" t="s">
        <v>1261</v>
      </c>
      <c r="C29" s="217"/>
      <c r="D29" s="2503"/>
      <c r="E29" s="2502"/>
      <c r="F29" s="2503"/>
      <c r="G29" s="2502"/>
      <c r="H29" s="2503"/>
      <c r="I29" s="2502"/>
      <c r="J29" s="304"/>
      <c r="K29" s="254"/>
      <c r="L29" s="264"/>
      <c r="M29" s="254"/>
      <c r="N29" s="2503"/>
      <c r="O29" s="254"/>
      <c r="P29" s="2330"/>
      <c r="Q29" s="3322"/>
      <c r="R29" s="2330"/>
      <c r="S29" s="3322"/>
      <c r="T29" s="2330"/>
      <c r="U29" s="3322"/>
      <c r="V29" s="2330"/>
      <c r="W29" s="3322"/>
      <c r="X29" s="2330"/>
      <c r="Y29" s="3322"/>
      <c r="Z29" s="2330"/>
      <c r="AA29" s="2350"/>
      <c r="AB29" s="3371"/>
      <c r="AC29" s="2349"/>
      <c r="AD29" s="3322"/>
      <c r="AE29" s="3361"/>
      <c r="AF29" s="2349"/>
      <c r="AG29" s="254"/>
      <c r="AH29" s="1138"/>
      <c r="AI29" s="264"/>
      <c r="AJ29" s="1608"/>
      <c r="AK29" s="1767"/>
    </row>
    <row r="30" spans="1:38" ht="15" customHeight="1">
      <c r="A30" s="340"/>
      <c r="B30" s="1132" t="s">
        <v>1211</v>
      </c>
      <c r="C30" s="217"/>
      <c r="D30" s="2914">
        <f>$AC30</f>
        <v>511.9</v>
      </c>
      <c r="E30" s="2501"/>
      <c r="F30" s="2501"/>
      <c r="G30" s="2501"/>
      <c r="H30" s="2501"/>
      <c r="I30" s="2502"/>
      <c r="J30" s="1544"/>
      <c r="K30" s="2509"/>
      <c r="L30" s="2743"/>
      <c r="M30" s="2509"/>
      <c r="N30" s="2743"/>
      <c r="O30" s="2509"/>
      <c r="P30" s="2914"/>
      <c r="Q30" s="3314"/>
      <c r="R30" s="2914"/>
      <c r="S30" s="3314"/>
      <c r="T30" s="2914"/>
      <c r="U30" s="3314"/>
      <c r="V30" s="2914"/>
      <c r="W30" s="3314"/>
      <c r="X30" s="2914"/>
      <c r="Y30" s="3314"/>
      <c r="Z30" s="2914"/>
      <c r="AA30" s="3315"/>
      <c r="AB30" s="3318">
        <v>0</v>
      </c>
      <c r="AC30" s="2948">
        <v>511.9</v>
      </c>
      <c r="AD30" s="3369"/>
      <c r="AE30" s="3318">
        <f t="shared" ref="AE30:AE36" si="2">ROUND(SUM(D30:AB30),1)</f>
        <v>511.9</v>
      </c>
      <c r="AF30" s="2948">
        <v>477.4</v>
      </c>
      <c r="AG30" s="254"/>
      <c r="AH30" s="1138"/>
      <c r="AI30" s="1042">
        <f t="shared" ref="AI30:AI36" si="3">ROUND(SUM(+AC30-AF30),1)</f>
        <v>34.5</v>
      </c>
      <c r="AJ30" s="1608"/>
      <c r="AK30" s="1565">
        <f t="shared" ref="AK30:AK36" si="4">ROUND(IF(AF30=0,0,AI30/ABS(AF30)),3)</f>
        <v>7.1999999999999995E-2</v>
      </c>
    </row>
    <row r="31" spans="1:38" ht="15" customHeight="1">
      <c r="A31" s="340"/>
      <c r="B31" s="1132" t="s">
        <v>1212</v>
      </c>
      <c r="C31" s="217"/>
      <c r="D31" s="2914">
        <f t="shared" ref="D31:D36" si="5">$AC31</f>
        <v>0</v>
      </c>
      <c r="E31" s="2501"/>
      <c r="F31" s="2501"/>
      <c r="G31" s="2501"/>
      <c r="H31" s="2501"/>
      <c r="I31" s="2502"/>
      <c r="J31" s="1544"/>
      <c r="K31" s="2509"/>
      <c r="L31" s="2743"/>
      <c r="M31" s="2509"/>
      <c r="N31" s="2743"/>
      <c r="O31" s="2509"/>
      <c r="P31" s="2914"/>
      <c r="Q31" s="3314"/>
      <c r="R31" s="2914"/>
      <c r="S31" s="3314"/>
      <c r="T31" s="2914"/>
      <c r="U31" s="3314"/>
      <c r="V31" s="2914"/>
      <c r="W31" s="3314"/>
      <c r="X31" s="2914"/>
      <c r="Y31" s="3314"/>
      <c r="Z31" s="2914"/>
      <c r="AA31" s="3315"/>
      <c r="AB31" s="3318">
        <v>0</v>
      </c>
      <c r="AC31" s="2948">
        <v>0</v>
      </c>
      <c r="AD31" s="3369"/>
      <c r="AE31" s="3318">
        <f t="shared" si="2"/>
        <v>0</v>
      </c>
      <c r="AF31" s="2948">
        <v>0</v>
      </c>
      <c r="AG31" s="254"/>
      <c r="AH31" s="1138"/>
      <c r="AI31" s="1042">
        <f t="shared" si="3"/>
        <v>0</v>
      </c>
      <c r="AJ31" s="1608"/>
      <c r="AK31" s="1565">
        <f t="shared" si="4"/>
        <v>0</v>
      </c>
    </row>
    <row r="32" spans="1:38" ht="15" customHeight="1">
      <c r="A32" s="340"/>
      <c r="B32" s="1132" t="s">
        <v>1213</v>
      </c>
      <c r="C32" s="217"/>
      <c r="D32" s="2914">
        <f t="shared" si="5"/>
        <v>24.4</v>
      </c>
      <c r="E32" s="2501"/>
      <c r="F32" s="2501"/>
      <c r="G32" s="2501"/>
      <c r="H32" s="2501"/>
      <c r="I32" s="2502"/>
      <c r="J32" s="1544"/>
      <c r="K32" s="2509"/>
      <c r="L32" s="2743"/>
      <c r="M32" s="2509"/>
      <c r="N32" s="2743"/>
      <c r="O32" s="2509"/>
      <c r="P32" s="2914"/>
      <c r="Q32" s="3314"/>
      <c r="R32" s="2914"/>
      <c r="S32" s="3314"/>
      <c r="T32" s="2914"/>
      <c r="U32" s="3314"/>
      <c r="V32" s="2914"/>
      <c r="W32" s="3314"/>
      <c r="X32" s="2914"/>
      <c r="Y32" s="3314"/>
      <c r="Z32" s="2914"/>
      <c r="AA32" s="3315"/>
      <c r="AB32" s="3318">
        <v>0</v>
      </c>
      <c r="AC32" s="2948">
        <v>24.4</v>
      </c>
      <c r="AD32" s="3369"/>
      <c r="AE32" s="3318">
        <f t="shared" si="2"/>
        <v>24.4</v>
      </c>
      <c r="AF32" s="2948">
        <v>23.6</v>
      </c>
      <c r="AG32" s="254"/>
      <c r="AH32" s="1138"/>
      <c r="AI32" s="1042">
        <f t="shared" si="3"/>
        <v>0.8</v>
      </c>
      <c r="AJ32" s="1608"/>
      <c r="AK32" s="1565">
        <f t="shared" si="4"/>
        <v>3.4000000000000002E-2</v>
      </c>
    </row>
    <row r="33" spans="1:38" ht="15" customHeight="1">
      <c r="A33" s="340"/>
      <c r="B33" s="1132" t="s">
        <v>1214</v>
      </c>
      <c r="C33" s="217"/>
      <c r="D33" s="2914">
        <f t="shared" si="5"/>
        <v>0</v>
      </c>
      <c r="E33" s="2501"/>
      <c r="F33" s="2501"/>
      <c r="G33" s="2501"/>
      <c r="H33" s="2501"/>
      <c r="I33" s="2502"/>
      <c r="J33" s="1544"/>
      <c r="K33" s="2509"/>
      <c r="L33" s="2743"/>
      <c r="M33" s="2509"/>
      <c r="N33" s="2743"/>
      <c r="O33" s="2509"/>
      <c r="P33" s="2914"/>
      <c r="Q33" s="3314"/>
      <c r="R33" s="2914"/>
      <c r="S33" s="3314"/>
      <c r="T33" s="2914"/>
      <c r="U33" s="3314"/>
      <c r="V33" s="2914"/>
      <c r="W33" s="3314"/>
      <c r="X33" s="2914"/>
      <c r="Y33" s="3314"/>
      <c r="Z33" s="2914"/>
      <c r="AA33" s="3315"/>
      <c r="AB33" s="3318">
        <v>0</v>
      </c>
      <c r="AC33" s="2948">
        <v>0</v>
      </c>
      <c r="AD33" s="3369"/>
      <c r="AE33" s="3318">
        <f t="shared" si="2"/>
        <v>0</v>
      </c>
      <c r="AF33" s="2948">
        <v>0</v>
      </c>
      <c r="AG33" s="254"/>
      <c r="AH33" s="1138"/>
      <c r="AI33" s="1042">
        <f t="shared" si="3"/>
        <v>0</v>
      </c>
      <c r="AJ33" s="1608"/>
      <c r="AK33" s="2324">
        <f t="shared" si="4"/>
        <v>0</v>
      </c>
    </row>
    <row r="34" spans="1:38" ht="15" customHeight="1">
      <c r="A34" s="340"/>
      <c r="B34" s="1132" t="s">
        <v>1215</v>
      </c>
      <c r="C34" s="217"/>
      <c r="D34" s="2914">
        <f t="shared" si="5"/>
        <v>7.5</v>
      </c>
      <c r="E34" s="2501"/>
      <c r="F34" s="2501"/>
      <c r="G34" s="2501"/>
      <c r="H34" s="2501"/>
      <c r="I34" s="2502"/>
      <c r="J34" s="1544"/>
      <c r="K34" s="2509"/>
      <c r="L34" s="2743"/>
      <c r="M34" s="2509"/>
      <c r="N34" s="2743"/>
      <c r="O34" s="2509"/>
      <c r="P34" s="2914"/>
      <c r="Q34" s="3314"/>
      <c r="R34" s="2914"/>
      <c r="S34" s="3314"/>
      <c r="T34" s="2914"/>
      <c r="U34" s="3314"/>
      <c r="V34" s="2914"/>
      <c r="W34" s="3314"/>
      <c r="X34" s="2914"/>
      <c r="Y34" s="3314"/>
      <c r="Z34" s="2914"/>
      <c r="AA34" s="3315"/>
      <c r="AB34" s="3318">
        <v>0</v>
      </c>
      <c r="AC34" s="2948">
        <v>7.5</v>
      </c>
      <c r="AD34" s="3369"/>
      <c r="AE34" s="3318">
        <f t="shared" si="2"/>
        <v>7.5</v>
      </c>
      <c r="AF34" s="2948">
        <v>21</v>
      </c>
      <c r="AG34" s="254"/>
      <c r="AH34" s="1138"/>
      <c r="AI34" s="1042">
        <f t="shared" si="3"/>
        <v>-13.5</v>
      </c>
      <c r="AJ34" s="1608"/>
      <c r="AK34" s="2324">
        <f t="shared" si="4"/>
        <v>-0.64300000000000002</v>
      </c>
    </row>
    <row r="35" spans="1:38" ht="15" customHeight="1">
      <c r="A35" s="340"/>
      <c r="B35" s="1132" t="s">
        <v>1216</v>
      </c>
      <c r="C35" s="217"/>
      <c r="D35" s="2914">
        <f t="shared" si="5"/>
        <v>0</v>
      </c>
      <c r="E35" s="2501"/>
      <c r="F35" s="2501"/>
      <c r="G35" s="2501"/>
      <c r="H35" s="2501"/>
      <c r="I35" s="2502"/>
      <c r="J35" s="1544"/>
      <c r="K35" s="2509"/>
      <c r="L35" s="2743"/>
      <c r="M35" s="2509"/>
      <c r="N35" s="2743"/>
      <c r="O35" s="2509"/>
      <c r="P35" s="2914"/>
      <c r="Q35" s="3314"/>
      <c r="R35" s="2914"/>
      <c r="S35" s="3314"/>
      <c r="T35" s="2914"/>
      <c r="U35" s="3314"/>
      <c r="V35" s="2914"/>
      <c r="W35" s="3314"/>
      <c r="X35" s="2914"/>
      <c r="Y35" s="3314"/>
      <c r="Z35" s="2914"/>
      <c r="AA35" s="3315"/>
      <c r="AB35" s="3318">
        <v>0</v>
      </c>
      <c r="AC35" s="2948">
        <v>0</v>
      </c>
      <c r="AD35" s="3369"/>
      <c r="AE35" s="3318">
        <f t="shared" si="2"/>
        <v>0</v>
      </c>
      <c r="AF35" s="2948">
        <v>0</v>
      </c>
      <c r="AG35" s="254"/>
      <c r="AH35" s="1138"/>
      <c r="AI35" s="1042">
        <f t="shared" si="3"/>
        <v>0</v>
      </c>
      <c r="AJ35" s="1608"/>
      <c r="AK35" s="2324">
        <f t="shared" si="4"/>
        <v>0</v>
      </c>
    </row>
    <row r="36" spans="1:38" ht="15" customHeight="1">
      <c r="A36" s="340"/>
      <c r="B36" s="1803" t="s">
        <v>1217</v>
      </c>
      <c r="C36" s="217"/>
      <c r="D36" s="2914">
        <f t="shared" si="5"/>
        <v>0</v>
      </c>
      <c r="E36" s="2501"/>
      <c r="F36" s="2501"/>
      <c r="G36" s="2501"/>
      <c r="H36" s="2501"/>
      <c r="I36" s="2502"/>
      <c r="J36" s="1544"/>
      <c r="K36" s="2509"/>
      <c r="L36" s="2743"/>
      <c r="M36" s="2509"/>
      <c r="N36" s="2743"/>
      <c r="O36" s="2509"/>
      <c r="P36" s="2914"/>
      <c r="Q36" s="3314"/>
      <c r="R36" s="2914"/>
      <c r="S36" s="3314"/>
      <c r="T36" s="2914"/>
      <c r="U36" s="3314"/>
      <c r="V36" s="2914"/>
      <c r="W36" s="3314"/>
      <c r="X36" s="2914"/>
      <c r="Y36" s="3314"/>
      <c r="Z36" s="2914"/>
      <c r="AA36" s="3315"/>
      <c r="AB36" s="3318">
        <v>0</v>
      </c>
      <c r="AC36" s="2948">
        <v>0</v>
      </c>
      <c r="AD36" s="3369"/>
      <c r="AE36" s="3318">
        <f t="shared" si="2"/>
        <v>0</v>
      </c>
      <c r="AF36" s="2948">
        <v>0</v>
      </c>
      <c r="AG36" s="254"/>
      <c r="AH36" s="1138"/>
      <c r="AI36" s="1042">
        <f t="shared" si="3"/>
        <v>0</v>
      </c>
      <c r="AJ36" s="1608"/>
      <c r="AK36" s="2324">
        <f t="shared" si="4"/>
        <v>0</v>
      </c>
    </row>
    <row r="37" spans="1:38" s="408" customFormat="1" ht="15" customHeight="1">
      <c r="A37" s="1789"/>
      <c r="B37" s="555" t="s">
        <v>1210</v>
      </c>
      <c r="C37" s="399"/>
      <c r="D37" s="3045">
        <f>ROUND(SUM(D30:D36),1)</f>
        <v>543.79999999999995</v>
      </c>
      <c r="E37" s="1587"/>
      <c r="F37" s="3045">
        <f>ROUND(SUM(F30:F36),1)</f>
        <v>0</v>
      </c>
      <c r="G37" s="1587"/>
      <c r="H37" s="3045">
        <f>ROUND(SUM(H30:H36),1)</f>
        <v>0</v>
      </c>
      <c r="I37" s="1587"/>
      <c r="J37" s="3046">
        <f>ROUND(SUM(J30:J36),1)</f>
        <v>0</v>
      </c>
      <c r="K37" s="1587"/>
      <c r="L37" s="463">
        <f>ROUND(SUM(L30:L36),1)</f>
        <v>0</v>
      </c>
      <c r="M37" s="1587"/>
      <c r="N37" s="463">
        <f>ROUND(SUM(N30:N36),1)</f>
        <v>0</v>
      </c>
      <c r="O37" s="1587"/>
      <c r="P37" s="3370">
        <f>ROUND(SUM(P30:P36),1)</f>
        <v>0</v>
      </c>
      <c r="Q37" s="2348"/>
      <c r="R37" s="3370">
        <f>ROUND(SUM(R30:R36),1)</f>
        <v>0</v>
      </c>
      <c r="S37" s="2348"/>
      <c r="T37" s="3370">
        <f>ROUND(SUM(T30:T36),1)</f>
        <v>0</v>
      </c>
      <c r="U37" s="2348"/>
      <c r="V37" s="3370">
        <f>ROUND(SUM(V30:V36),1)</f>
        <v>0</v>
      </c>
      <c r="W37" s="2348"/>
      <c r="X37" s="3370">
        <f>ROUND(SUM(X30:X36),1)</f>
        <v>0</v>
      </c>
      <c r="Y37" s="2348"/>
      <c r="Z37" s="3370">
        <f>ROUND(SUM(Z30:Z36),1)</f>
        <v>0</v>
      </c>
      <c r="AA37" s="3326"/>
      <c r="AB37" s="3373"/>
      <c r="AC37" s="3526">
        <f>ROUND(SUM(AC30:AC36),1)</f>
        <v>543.79999999999995</v>
      </c>
      <c r="AD37" s="2348"/>
      <c r="AE37" s="3367"/>
      <c r="AF37" s="2347">
        <f>ROUND(SUM(AF30:AF36),1)</f>
        <v>522</v>
      </c>
      <c r="AG37" s="1587"/>
      <c r="AH37" s="1140"/>
      <c r="AI37" s="463">
        <f>ROUND(SUM(AI30:AI36),1)</f>
        <v>21.8</v>
      </c>
      <c r="AJ37" s="264"/>
      <c r="AK37" s="2331">
        <f>ROUND(SUM(+AI37/AF37),3)</f>
        <v>4.2000000000000003E-2</v>
      </c>
      <c r="AL37" s="398"/>
    </row>
    <row r="38" spans="1:38" s="408" customFormat="1" ht="15" customHeight="1">
      <c r="A38" s="1789"/>
      <c r="B38" s="1768" t="s">
        <v>1262</v>
      </c>
      <c r="C38" s="399"/>
      <c r="D38" s="2503"/>
      <c r="E38" s="1587"/>
      <c r="F38" s="2503"/>
      <c r="G38" s="1587"/>
      <c r="H38" s="2503"/>
      <c r="I38" s="1587"/>
      <c r="J38" s="1740"/>
      <c r="K38" s="1587"/>
      <c r="L38" s="264"/>
      <c r="M38" s="1587"/>
      <c r="N38" s="2503"/>
      <c r="O38" s="1587"/>
      <c r="P38" s="2330"/>
      <c r="Q38" s="2348"/>
      <c r="R38" s="2330"/>
      <c r="S38" s="2348"/>
      <c r="T38" s="2330"/>
      <c r="U38" s="2348"/>
      <c r="V38" s="2330"/>
      <c r="W38" s="2348"/>
      <c r="X38" s="2330"/>
      <c r="Y38" s="2348"/>
      <c r="Z38" s="2330"/>
      <c r="AA38" s="3326"/>
      <c r="AB38" s="3373"/>
      <c r="AC38" s="2349"/>
      <c r="AD38" s="2348"/>
      <c r="AE38" s="3367"/>
      <c r="AF38" s="2349"/>
      <c r="AG38" s="1587"/>
      <c r="AH38" s="1140"/>
      <c r="AI38" s="264"/>
      <c r="AJ38" s="264"/>
      <c r="AK38" s="3703"/>
      <c r="AL38" s="398"/>
    </row>
    <row r="39" spans="1:38" s="408" customFormat="1" ht="15" customHeight="1">
      <c r="A39" s="1789"/>
      <c r="B39" s="1132" t="s">
        <v>1219</v>
      </c>
      <c r="C39" s="399"/>
      <c r="D39" s="2914">
        <f>$AC39</f>
        <v>334.3</v>
      </c>
      <c r="E39" s="2501"/>
      <c r="F39" s="2501"/>
      <c r="G39" s="2501"/>
      <c r="H39" s="2501"/>
      <c r="I39" s="1587"/>
      <c r="J39" s="1544"/>
      <c r="K39" s="2509"/>
      <c r="L39" s="2743"/>
      <c r="M39" s="2509"/>
      <c r="N39" s="2743"/>
      <c r="O39" s="2509"/>
      <c r="P39" s="2914"/>
      <c r="Q39" s="3314"/>
      <c r="R39" s="2914"/>
      <c r="S39" s="3314"/>
      <c r="T39" s="2914"/>
      <c r="U39" s="3314"/>
      <c r="V39" s="2914"/>
      <c r="W39" s="3314"/>
      <c r="X39" s="2914"/>
      <c r="Y39" s="3314"/>
      <c r="Z39" s="2914"/>
      <c r="AA39" s="3315"/>
      <c r="AB39" s="3318">
        <v>0</v>
      </c>
      <c r="AC39" s="2948">
        <v>334.3</v>
      </c>
      <c r="AD39" s="3369"/>
      <c r="AE39" s="3318">
        <f>ROUND(SUM(D39:AB39),1)</f>
        <v>334.3</v>
      </c>
      <c r="AF39" s="2948">
        <v>346.4</v>
      </c>
      <c r="AG39" s="1587"/>
      <c r="AH39" s="1140"/>
      <c r="AI39" s="1042">
        <f>ROUND(SUM(+AC39-AF39),1)</f>
        <v>-12.1</v>
      </c>
      <c r="AJ39" s="264"/>
      <c r="AK39" s="2324">
        <f>ROUND(IF(AF39=0,0,AI39/ABS(AF39)),3)</f>
        <v>-3.5000000000000003E-2</v>
      </c>
      <c r="AL39" s="398"/>
    </row>
    <row r="40" spans="1:38" s="408" customFormat="1" ht="15" customHeight="1">
      <c r="A40" s="1789"/>
      <c r="B40" s="1132" t="s">
        <v>1220</v>
      </c>
      <c r="C40" s="399"/>
      <c r="D40" s="2914">
        <f t="shared" ref="D40:D43" si="6">$AC40</f>
        <v>-0.3</v>
      </c>
      <c r="E40" s="2501"/>
      <c r="F40" s="2501"/>
      <c r="G40" s="2501"/>
      <c r="H40" s="2501"/>
      <c r="I40" s="1587"/>
      <c r="J40" s="1544"/>
      <c r="K40" s="2509"/>
      <c r="L40" s="2743"/>
      <c r="M40" s="2509"/>
      <c r="N40" s="2743"/>
      <c r="O40" s="2509"/>
      <c r="P40" s="2914"/>
      <c r="Q40" s="3314"/>
      <c r="R40" s="2914"/>
      <c r="S40" s="3314"/>
      <c r="T40" s="2914"/>
      <c r="U40" s="3314"/>
      <c r="V40" s="2914"/>
      <c r="W40" s="3314"/>
      <c r="X40" s="2914"/>
      <c r="Y40" s="3314"/>
      <c r="Z40" s="2914"/>
      <c r="AA40" s="3315"/>
      <c r="AB40" s="3318">
        <v>0</v>
      </c>
      <c r="AC40" s="2948">
        <v>-0.3</v>
      </c>
      <c r="AD40" s="3369"/>
      <c r="AE40" s="3318">
        <f>ROUND(SUM(D40:AB40),1)</f>
        <v>-0.3</v>
      </c>
      <c r="AF40" s="2948">
        <v>30.4</v>
      </c>
      <c r="AG40" s="1587"/>
      <c r="AH40" s="1140"/>
      <c r="AI40" s="1042">
        <f>ROUND(SUM(+AC40-AF40),1)</f>
        <v>-30.7</v>
      </c>
      <c r="AJ40" s="264"/>
      <c r="AK40" s="2324">
        <f>ROUND(IF(AF40=0,0,AI40/ABS(AF40)),3)</f>
        <v>-1.01</v>
      </c>
      <c r="AL40" s="398"/>
    </row>
    <row r="41" spans="1:38" s="408" customFormat="1" ht="15" customHeight="1">
      <c r="A41" s="1789"/>
      <c r="B41" s="1132" t="s">
        <v>1221</v>
      </c>
      <c r="C41" s="399"/>
      <c r="D41" s="2914">
        <f t="shared" si="6"/>
        <v>41.4</v>
      </c>
      <c r="E41" s="2501"/>
      <c r="F41" s="2501"/>
      <c r="G41" s="2501"/>
      <c r="H41" s="2501"/>
      <c r="I41" s="1587"/>
      <c r="J41" s="1544"/>
      <c r="K41" s="2509"/>
      <c r="L41" s="2743"/>
      <c r="M41" s="2509"/>
      <c r="N41" s="2743"/>
      <c r="O41" s="2509"/>
      <c r="P41" s="2914"/>
      <c r="Q41" s="3314"/>
      <c r="R41" s="2914"/>
      <c r="S41" s="3314"/>
      <c r="T41" s="2914"/>
      <c r="U41" s="3314"/>
      <c r="V41" s="2914"/>
      <c r="W41" s="3314"/>
      <c r="X41" s="2914"/>
      <c r="Y41" s="3314"/>
      <c r="Z41" s="2914"/>
      <c r="AA41" s="3315"/>
      <c r="AB41" s="3318">
        <v>0</v>
      </c>
      <c r="AC41" s="2948">
        <v>41.4</v>
      </c>
      <c r="AD41" s="3369"/>
      <c r="AE41" s="3318">
        <f>ROUND(SUM(D41:AB41),1)</f>
        <v>41.4</v>
      </c>
      <c r="AF41" s="2948">
        <v>40.299999999999997</v>
      </c>
      <c r="AG41" s="1587"/>
      <c r="AH41" s="1140"/>
      <c r="AI41" s="1042">
        <f>ROUND(SUM(+AC41-AF41),1)</f>
        <v>1.1000000000000001</v>
      </c>
      <c r="AJ41" s="264"/>
      <c r="AK41" s="2324">
        <f>ROUND(IF(AF41=0,0,AI41/ABS(AF41)),3)</f>
        <v>2.7E-2</v>
      </c>
      <c r="AL41" s="398"/>
    </row>
    <row r="42" spans="1:38" s="408" customFormat="1" ht="15" customHeight="1">
      <c r="A42" s="1789"/>
      <c r="B42" s="1132" t="s">
        <v>1222</v>
      </c>
      <c r="C42" s="399"/>
      <c r="D42" s="2914">
        <f t="shared" si="6"/>
        <v>-29.9</v>
      </c>
      <c r="E42" s="2501"/>
      <c r="F42" s="2501"/>
      <c r="G42" s="2501"/>
      <c r="H42" s="2501"/>
      <c r="I42" s="1587"/>
      <c r="J42" s="1544"/>
      <c r="K42" s="2509"/>
      <c r="L42" s="2743"/>
      <c r="M42" s="2509"/>
      <c r="N42" s="2743"/>
      <c r="O42" s="2509"/>
      <c r="P42" s="2914"/>
      <c r="Q42" s="3314"/>
      <c r="R42" s="2914"/>
      <c r="S42" s="3314"/>
      <c r="T42" s="2914"/>
      <c r="U42" s="3314"/>
      <c r="V42" s="2914"/>
      <c r="W42" s="3314"/>
      <c r="X42" s="2914"/>
      <c r="Y42" s="3314"/>
      <c r="Z42" s="2914"/>
      <c r="AA42" s="3315"/>
      <c r="AB42" s="3318">
        <v>0</v>
      </c>
      <c r="AC42" s="2948">
        <v>-29.9</v>
      </c>
      <c r="AD42" s="3369"/>
      <c r="AE42" s="3318">
        <f>ROUND(SUM(D42:AB42),1)</f>
        <v>-29.9</v>
      </c>
      <c r="AF42" s="2948">
        <v>4.2</v>
      </c>
      <c r="AG42" s="1587"/>
      <c r="AH42" s="1140"/>
      <c r="AI42" s="1042">
        <f>ROUND(SUM(+AC42-AF42),1)</f>
        <v>-34.1</v>
      </c>
      <c r="AJ42" s="264"/>
      <c r="AK42" s="2372">
        <f>ROUND(IF(AF42=0,0,AI42/ABS(AF42)),3)</f>
        <v>-8.1189999999999998</v>
      </c>
      <c r="AL42" s="398"/>
    </row>
    <row r="43" spans="1:38" s="408" customFormat="1" ht="15" customHeight="1">
      <c r="A43" s="1789"/>
      <c r="B43" s="1132" t="s">
        <v>1223</v>
      </c>
      <c r="C43" s="399"/>
      <c r="D43" s="2914">
        <f t="shared" si="6"/>
        <v>0</v>
      </c>
      <c r="E43" s="2501"/>
      <c r="F43" s="2501"/>
      <c r="G43" s="2501"/>
      <c r="H43" s="2501"/>
      <c r="I43" s="1587"/>
      <c r="J43" s="1544"/>
      <c r="K43" s="2509"/>
      <c r="L43" s="2743"/>
      <c r="M43" s="2509"/>
      <c r="N43" s="2743"/>
      <c r="O43" s="2509"/>
      <c r="P43" s="2914"/>
      <c r="Q43" s="3314"/>
      <c r="R43" s="2914"/>
      <c r="S43" s="3314"/>
      <c r="T43" s="2914"/>
      <c r="U43" s="3314"/>
      <c r="V43" s="2914"/>
      <c r="W43" s="3314"/>
      <c r="X43" s="2914"/>
      <c r="Y43" s="3314"/>
      <c r="Z43" s="2914"/>
      <c r="AA43" s="3315"/>
      <c r="AB43" s="3318">
        <v>0</v>
      </c>
      <c r="AC43" s="2948">
        <v>0</v>
      </c>
      <c r="AD43" s="3369"/>
      <c r="AE43" s="3318">
        <f>ROUND(SUM(D43:AB43),1)</f>
        <v>0</v>
      </c>
      <c r="AF43" s="2948">
        <v>0</v>
      </c>
      <c r="AG43" s="1587"/>
      <c r="AH43" s="1140"/>
      <c r="AI43" s="1042">
        <f>ROUND(SUM(+AC43-AF43),1)</f>
        <v>0</v>
      </c>
      <c r="AJ43" s="264"/>
      <c r="AK43" s="2324">
        <f>ROUND(IF(AF43=0,0,AI43/ABS(AF43)),3)</f>
        <v>0</v>
      </c>
      <c r="AL43" s="398"/>
    </row>
    <row r="44" spans="1:38" s="408" customFormat="1" ht="15" customHeight="1">
      <c r="A44" s="1789"/>
      <c r="B44" s="555" t="s">
        <v>1218</v>
      </c>
      <c r="C44" s="399"/>
      <c r="D44" s="3046">
        <f>ROUND(SUM(D39:D43),1)</f>
        <v>345.5</v>
      </c>
      <c r="E44" s="1587"/>
      <c r="F44" s="3046">
        <f>ROUND(SUM(F39:F43),1)</f>
        <v>0</v>
      </c>
      <c r="G44" s="1587"/>
      <c r="H44" s="3046">
        <f>ROUND(SUM(H39:H43),1)</f>
        <v>0</v>
      </c>
      <c r="I44" s="1587"/>
      <c r="J44" s="3046">
        <f>ROUND(SUM(J39:J43),1)</f>
        <v>0</v>
      </c>
      <c r="K44" s="1587"/>
      <c r="L44" s="1144">
        <f>ROUND(SUM(L39:L43),1)</f>
        <v>0</v>
      </c>
      <c r="M44" s="1587"/>
      <c r="N44" s="2514">
        <f>ROUND(SUM(N39:N43),1)</f>
        <v>0</v>
      </c>
      <c r="O44" s="1587"/>
      <c r="P44" s="2347">
        <f>ROUND(SUM(P39:P43),1)</f>
        <v>0</v>
      </c>
      <c r="Q44" s="2348"/>
      <c r="R44" s="2347">
        <f>ROUND(SUM(R39:R43),1)</f>
        <v>0</v>
      </c>
      <c r="S44" s="2348"/>
      <c r="T44" s="2347">
        <f>ROUND(SUM(T39:T43),1)</f>
        <v>0</v>
      </c>
      <c r="U44" s="2348"/>
      <c r="V44" s="2347">
        <f>ROUND(SUM(V39:V43),1)</f>
        <v>0</v>
      </c>
      <c r="W44" s="2348"/>
      <c r="X44" s="2347">
        <f>ROUND(SUM(X39:X43),1)</f>
        <v>0</v>
      </c>
      <c r="Y44" s="2348"/>
      <c r="Z44" s="2347">
        <f>ROUND(SUM(Z39:Z43),1)</f>
        <v>0</v>
      </c>
      <c r="AA44" s="3326"/>
      <c r="AB44" s="3373"/>
      <c r="AC44" s="3526">
        <f>ROUND(SUM(AC39:AC43),1)</f>
        <v>345.5</v>
      </c>
      <c r="AD44" s="2348"/>
      <c r="AE44" s="3367"/>
      <c r="AF44" s="2347">
        <f>ROUND(SUM(AF39:AF43),1)</f>
        <v>421.3</v>
      </c>
      <c r="AG44" s="1587"/>
      <c r="AH44" s="1140"/>
      <c r="AI44" s="1144">
        <f>ROUND(SUM(AI39:AI43),1)</f>
        <v>-75.8</v>
      </c>
      <c r="AJ44" s="264"/>
      <c r="AK44" s="2331">
        <f>ROUND(SUM(+AI44/AF44),3)</f>
        <v>-0.18</v>
      </c>
      <c r="AL44" s="398"/>
    </row>
    <row r="45" spans="1:38" s="408" customFormat="1" ht="15" customHeight="1">
      <c r="A45" s="1789"/>
      <c r="B45" s="1768" t="s">
        <v>1263</v>
      </c>
      <c r="C45" s="399"/>
      <c r="D45" s="2503"/>
      <c r="E45" s="1587"/>
      <c r="F45" s="2503"/>
      <c r="G45" s="1587"/>
      <c r="H45" s="2503"/>
      <c r="I45" s="1587"/>
      <c r="J45" s="304"/>
      <c r="K45" s="1587"/>
      <c r="L45" s="264"/>
      <c r="M45" s="1587"/>
      <c r="N45" s="2503"/>
      <c r="O45" s="1587"/>
      <c r="P45" s="2330"/>
      <c r="Q45" s="2348"/>
      <c r="R45" s="2330"/>
      <c r="S45" s="2348"/>
      <c r="T45" s="2330"/>
      <c r="U45" s="2348"/>
      <c r="V45" s="2330"/>
      <c r="W45" s="2348"/>
      <c r="X45" s="2330"/>
      <c r="Y45" s="2348"/>
      <c r="Z45" s="2330"/>
      <c r="AA45" s="3326"/>
      <c r="AB45" s="3373"/>
      <c r="AC45" s="2349"/>
      <c r="AD45" s="2348"/>
      <c r="AE45" s="3367"/>
      <c r="AF45" s="2349"/>
      <c r="AG45" s="1587"/>
      <c r="AH45" s="1140"/>
      <c r="AI45" s="264"/>
      <c r="AJ45" s="264"/>
      <c r="AK45" s="3703"/>
      <c r="AL45" s="398"/>
    </row>
    <row r="46" spans="1:38" s="408" customFormat="1" ht="15" customHeight="1">
      <c r="A46" s="1789"/>
      <c r="B46" s="1132" t="s">
        <v>1226</v>
      </c>
      <c r="C46" s="399"/>
      <c r="D46" s="2914">
        <f>$AC46</f>
        <v>0</v>
      </c>
      <c r="E46" s="2501"/>
      <c r="F46" s="2501"/>
      <c r="G46" s="2501"/>
      <c r="H46" s="2501"/>
      <c r="I46" s="1587"/>
      <c r="J46" s="1544"/>
      <c r="K46" s="2509"/>
      <c r="L46" s="2743"/>
      <c r="M46" s="2509"/>
      <c r="N46" s="2743"/>
      <c r="O46" s="2509"/>
      <c r="P46" s="2914"/>
      <c r="Q46" s="3314"/>
      <c r="R46" s="2914"/>
      <c r="S46" s="3314"/>
      <c r="T46" s="2914"/>
      <c r="U46" s="3314"/>
      <c r="V46" s="2914"/>
      <c r="W46" s="3314"/>
      <c r="X46" s="2914"/>
      <c r="Y46" s="3314"/>
      <c r="Z46" s="2914"/>
      <c r="AA46" s="3315"/>
      <c r="AB46" s="3318">
        <v>0</v>
      </c>
      <c r="AC46" s="2948">
        <v>0</v>
      </c>
      <c r="AD46" s="3369"/>
      <c r="AE46" s="3318">
        <f t="shared" ref="AE46:AE51" si="7">ROUND(SUM(D46:AB46),1)</f>
        <v>0</v>
      </c>
      <c r="AF46" s="2948">
        <v>0</v>
      </c>
      <c r="AG46" s="1587"/>
      <c r="AH46" s="1140"/>
      <c r="AI46" s="1042">
        <f t="shared" ref="AI46:AI51" si="8">ROUND(SUM(+AC46-AF46),1)</f>
        <v>0</v>
      </c>
      <c r="AJ46" s="264"/>
      <c r="AK46" s="2324">
        <f t="shared" ref="AK46:AK51" si="9">ROUND(IF(AF46=0,0,AI46/ABS(AF46)),3)</f>
        <v>0</v>
      </c>
      <c r="AL46" s="398"/>
    </row>
    <row r="47" spans="1:38" s="408" customFormat="1" ht="15" customHeight="1">
      <c r="A47" s="1789"/>
      <c r="B47" s="1132" t="s">
        <v>1227</v>
      </c>
      <c r="C47" s="399"/>
      <c r="D47" s="2914">
        <f t="shared" ref="D47:D51" si="10">$AC47</f>
        <v>50.2</v>
      </c>
      <c r="E47" s="2501"/>
      <c r="F47" s="2501"/>
      <c r="G47" s="2501"/>
      <c r="H47" s="2501"/>
      <c r="I47" s="1587"/>
      <c r="J47" s="1544"/>
      <c r="K47" s="2509"/>
      <c r="L47" s="2743"/>
      <c r="M47" s="2509"/>
      <c r="N47" s="2743"/>
      <c r="O47" s="2509"/>
      <c r="P47" s="2914"/>
      <c r="Q47" s="3314"/>
      <c r="R47" s="2914"/>
      <c r="S47" s="3314"/>
      <c r="T47" s="2914"/>
      <c r="U47" s="3314"/>
      <c r="V47" s="2914"/>
      <c r="W47" s="3314"/>
      <c r="X47" s="2914"/>
      <c r="Y47" s="3314"/>
      <c r="Z47" s="2914"/>
      <c r="AA47" s="3315"/>
      <c r="AB47" s="3318">
        <v>0</v>
      </c>
      <c r="AC47" s="2948">
        <v>50.2</v>
      </c>
      <c r="AD47" s="3369"/>
      <c r="AE47" s="3318">
        <f t="shared" si="7"/>
        <v>50.2</v>
      </c>
      <c r="AF47" s="2948">
        <v>89.7</v>
      </c>
      <c r="AG47" s="1587"/>
      <c r="AH47" s="1140"/>
      <c r="AI47" s="1042">
        <f t="shared" si="8"/>
        <v>-39.5</v>
      </c>
      <c r="AJ47" s="264"/>
      <c r="AK47" s="2324">
        <f t="shared" si="9"/>
        <v>-0.44</v>
      </c>
      <c r="AL47" s="398"/>
    </row>
    <row r="48" spans="1:38" s="408" customFormat="1" ht="15" customHeight="1">
      <c r="A48" s="1789"/>
      <c r="B48" s="1132" t="s">
        <v>1228</v>
      </c>
      <c r="C48" s="399"/>
      <c r="D48" s="2914">
        <f t="shared" si="10"/>
        <v>0.9</v>
      </c>
      <c r="E48" s="2501"/>
      <c r="F48" s="2501"/>
      <c r="G48" s="2501"/>
      <c r="H48" s="2501"/>
      <c r="I48" s="1587"/>
      <c r="J48" s="1544"/>
      <c r="K48" s="2509"/>
      <c r="L48" s="2743"/>
      <c r="M48" s="2509"/>
      <c r="N48" s="2743"/>
      <c r="O48" s="2509"/>
      <c r="P48" s="2914"/>
      <c r="Q48" s="3314"/>
      <c r="R48" s="2914"/>
      <c r="S48" s="3314"/>
      <c r="T48" s="2914"/>
      <c r="U48" s="3314"/>
      <c r="V48" s="2914"/>
      <c r="W48" s="3314"/>
      <c r="X48" s="2914"/>
      <c r="Y48" s="3314"/>
      <c r="Z48" s="2914"/>
      <c r="AA48" s="3315"/>
      <c r="AB48" s="3318">
        <v>0</v>
      </c>
      <c r="AC48" s="2948">
        <v>0.9</v>
      </c>
      <c r="AD48" s="3369"/>
      <c r="AE48" s="3318">
        <f t="shared" si="7"/>
        <v>0.9</v>
      </c>
      <c r="AF48" s="2948">
        <v>0.8</v>
      </c>
      <c r="AG48" s="1587"/>
      <c r="AH48" s="1140"/>
      <c r="AI48" s="1042">
        <f t="shared" si="8"/>
        <v>0.1</v>
      </c>
      <c r="AJ48" s="264"/>
      <c r="AK48" s="2324">
        <f t="shared" si="9"/>
        <v>0.125</v>
      </c>
      <c r="AL48" s="398"/>
    </row>
    <row r="49" spans="1:38" s="408" customFormat="1" ht="15" customHeight="1">
      <c r="A49" s="1789"/>
      <c r="B49" s="1132" t="s">
        <v>1229</v>
      </c>
      <c r="C49" s="399"/>
      <c r="D49" s="2914">
        <f t="shared" si="10"/>
        <v>0</v>
      </c>
      <c r="E49" s="2501"/>
      <c r="F49" s="2501"/>
      <c r="G49" s="2501"/>
      <c r="H49" s="2501"/>
      <c r="I49" s="1587"/>
      <c r="J49" s="1544"/>
      <c r="K49" s="2509"/>
      <c r="L49" s="2743"/>
      <c r="M49" s="2509"/>
      <c r="N49" s="2743"/>
      <c r="O49" s="2509"/>
      <c r="P49" s="2914"/>
      <c r="Q49" s="3314"/>
      <c r="R49" s="2914"/>
      <c r="S49" s="3314"/>
      <c r="T49" s="2914"/>
      <c r="U49" s="3314"/>
      <c r="V49" s="2914"/>
      <c r="W49" s="3314"/>
      <c r="X49" s="2914"/>
      <c r="Y49" s="3314"/>
      <c r="Z49" s="2914"/>
      <c r="AA49" s="3315"/>
      <c r="AB49" s="3318">
        <v>0</v>
      </c>
      <c r="AC49" s="2948">
        <v>0</v>
      </c>
      <c r="AD49" s="3369">
        <f>'Exhibit F'!AF1212</f>
        <v>0</v>
      </c>
      <c r="AE49" s="3318">
        <f t="shared" si="7"/>
        <v>0</v>
      </c>
      <c r="AF49" s="2948">
        <v>0</v>
      </c>
      <c r="AG49" s="1587"/>
      <c r="AH49" s="1140"/>
      <c r="AI49" s="1042">
        <f t="shared" si="8"/>
        <v>0</v>
      </c>
      <c r="AJ49" s="264"/>
      <c r="AK49" s="2324">
        <f t="shared" si="9"/>
        <v>0</v>
      </c>
      <c r="AL49" s="398"/>
    </row>
    <row r="50" spans="1:38" s="408" customFormat="1" ht="15" customHeight="1">
      <c r="A50" s="1789"/>
      <c r="B50" s="1132" t="s">
        <v>1230</v>
      </c>
      <c r="C50" s="399"/>
      <c r="D50" s="2914">
        <f t="shared" si="10"/>
        <v>0.5</v>
      </c>
      <c r="E50" s="2501"/>
      <c r="F50" s="2501"/>
      <c r="G50" s="2501"/>
      <c r="H50" s="2501"/>
      <c r="I50" s="1587"/>
      <c r="J50" s="1544"/>
      <c r="K50" s="2509"/>
      <c r="L50" s="2743"/>
      <c r="M50" s="2509"/>
      <c r="N50" s="2743"/>
      <c r="O50" s="2509"/>
      <c r="P50" s="2914"/>
      <c r="Q50" s="3314"/>
      <c r="R50" s="2914"/>
      <c r="S50" s="3314"/>
      <c r="T50" s="2914"/>
      <c r="U50" s="3314"/>
      <c r="V50" s="2914"/>
      <c r="W50" s="3314"/>
      <c r="X50" s="2914"/>
      <c r="Y50" s="3314"/>
      <c r="Z50" s="2914"/>
      <c r="AA50" s="3315"/>
      <c r="AB50" s="3318">
        <v>0</v>
      </c>
      <c r="AC50" s="2948">
        <v>0.5</v>
      </c>
      <c r="AD50" s="3369"/>
      <c r="AE50" s="3318">
        <f t="shared" si="7"/>
        <v>0.5</v>
      </c>
      <c r="AF50" s="2948">
        <v>0.4</v>
      </c>
      <c r="AG50" s="1587"/>
      <c r="AH50" s="1140"/>
      <c r="AI50" s="1042">
        <f t="shared" si="8"/>
        <v>0.1</v>
      </c>
      <c r="AJ50" s="264"/>
      <c r="AK50" s="2324">
        <f>ROUND(IF(AF50=0,1,AI50/ABS(AF50)),3)</f>
        <v>0.25</v>
      </c>
      <c r="AL50" s="398"/>
    </row>
    <row r="51" spans="1:38" s="408" customFormat="1" ht="15" customHeight="1">
      <c r="A51" s="1789"/>
      <c r="B51" s="1803" t="s">
        <v>1323</v>
      </c>
      <c r="C51" s="399"/>
      <c r="D51" s="2914">
        <f t="shared" si="10"/>
        <v>0</v>
      </c>
      <c r="E51" s="2501"/>
      <c r="F51" s="2501"/>
      <c r="G51" s="2501"/>
      <c r="H51" s="2501"/>
      <c r="I51" s="1587"/>
      <c r="J51" s="1544"/>
      <c r="K51" s="2509"/>
      <c r="L51" s="2743"/>
      <c r="M51" s="2509"/>
      <c r="N51" s="2743"/>
      <c r="O51" s="2509"/>
      <c r="P51" s="2914"/>
      <c r="Q51" s="3314"/>
      <c r="R51" s="2914"/>
      <c r="S51" s="3314"/>
      <c r="T51" s="2914"/>
      <c r="U51" s="3314"/>
      <c r="V51" s="2914"/>
      <c r="W51" s="3314"/>
      <c r="X51" s="2914"/>
      <c r="Y51" s="3314"/>
      <c r="Z51" s="2914"/>
      <c r="AA51" s="3315"/>
      <c r="AB51" s="3318">
        <v>0</v>
      </c>
      <c r="AC51" s="2948">
        <v>0</v>
      </c>
      <c r="AD51" s="3369"/>
      <c r="AE51" s="3318">
        <f t="shared" si="7"/>
        <v>0</v>
      </c>
      <c r="AF51" s="2948">
        <v>0</v>
      </c>
      <c r="AG51" s="1587"/>
      <c r="AH51" s="1140"/>
      <c r="AI51" s="1042">
        <f t="shared" si="8"/>
        <v>0</v>
      </c>
      <c r="AJ51" s="264"/>
      <c r="AK51" s="2324">
        <f t="shared" si="9"/>
        <v>0</v>
      </c>
      <c r="AL51" s="398"/>
    </row>
    <row r="52" spans="1:38" s="408" customFormat="1" ht="15" customHeight="1">
      <c r="A52" s="1789"/>
      <c r="B52" s="555" t="s">
        <v>1224</v>
      </c>
      <c r="C52" s="399"/>
      <c r="D52" s="3046">
        <f>ROUND(SUM(D46:D51),1)</f>
        <v>51.6</v>
      </c>
      <c r="E52" s="1587"/>
      <c r="F52" s="3046">
        <f>ROUND(SUM(F46:F51),1)</f>
        <v>0</v>
      </c>
      <c r="G52" s="1587"/>
      <c r="H52" s="3046">
        <f>ROUND(SUM(H46:H51),1)</f>
        <v>0</v>
      </c>
      <c r="I52" s="1587"/>
      <c r="J52" s="3046">
        <f>ROUND(SUM(J46:J51),1)</f>
        <v>0</v>
      </c>
      <c r="K52" s="1587"/>
      <c r="L52" s="1144">
        <f>ROUND(SUM(L46:L51),1)</f>
        <v>0</v>
      </c>
      <c r="M52" s="1587"/>
      <c r="N52" s="2514">
        <f>ROUND(SUM(N46:N51),1)</f>
        <v>0</v>
      </c>
      <c r="O52" s="1587"/>
      <c r="P52" s="2347">
        <f>ROUND(SUM(P46:P51),1)</f>
        <v>0</v>
      </c>
      <c r="Q52" s="2348"/>
      <c r="R52" s="2347">
        <f>ROUND(SUM(R46:R51),1)</f>
        <v>0</v>
      </c>
      <c r="S52" s="2348"/>
      <c r="T52" s="2347">
        <f>ROUND(SUM(T46:T51),1)</f>
        <v>0</v>
      </c>
      <c r="U52" s="2348"/>
      <c r="V52" s="2347">
        <f>ROUND(SUM(V46:V51),1)</f>
        <v>0</v>
      </c>
      <c r="W52" s="2348"/>
      <c r="X52" s="2347">
        <f>ROUND(SUM(X46:X51),1)</f>
        <v>0</v>
      </c>
      <c r="Y52" s="2348"/>
      <c r="Z52" s="2347">
        <f>ROUND(SUM(Z46:Z51),1)</f>
        <v>0</v>
      </c>
      <c r="AA52" s="3326"/>
      <c r="AB52" s="3373"/>
      <c r="AC52" s="3526">
        <f>ROUND(SUM(AC46:AC51),1)</f>
        <v>51.6</v>
      </c>
      <c r="AD52" s="2348"/>
      <c r="AE52" s="3367"/>
      <c r="AF52" s="2347">
        <f>ROUND(SUM(AF46:AF51),1)</f>
        <v>90.9</v>
      </c>
      <c r="AG52" s="1587"/>
      <c r="AH52" s="1140"/>
      <c r="AI52" s="1144">
        <f>ROUND(SUM(AI46:AI51),1)</f>
        <v>-39.299999999999997</v>
      </c>
      <c r="AJ52" s="264"/>
      <c r="AK52" s="2331">
        <f>ROUND(SUM(+AI52/AF52),3)</f>
        <v>-0.432</v>
      </c>
      <c r="AL52" s="398"/>
    </row>
    <row r="53" spans="1:38" s="408" customFormat="1" ht="15" customHeight="1">
      <c r="A53" s="1789"/>
      <c r="B53" s="555"/>
      <c r="C53" s="399"/>
      <c r="D53" s="2503"/>
      <c r="E53" s="1587"/>
      <c r="F53" s="2503"/>
      <c r="G53" s="2503"/>
      <c r="H53" s="2503"/>
      <c r="I53" s="2503"/>
      <c r="J53" s="304"/>
      <c r="K53" s="264"/>
      <c r="L53" s="264"/>
      <c r="M53" s="264"/>
      <c r="N53" s="2503"/>
      <c r="O53" s="264"/>
      <c r="P53" s="2330"/>
      <c r="Q53" s="2330"/>
      <c r="R53" s="2330"/>
      <c r="S53" s="2330"/>
      <c r="T53" s="2330"/>
      <c r="U53" s="2330"/>
      <c r="V53" s="2330"/>
      <c r="W53" s="2330"/>
      <c r="X53" s="2349"/>
      <c r="Y53" s="2330"/>
      <c r="Z53" s="2349"/>
      <c r="AA53" s="3326"/>
      <c r="AB53" s="3373"/>
      <c r="AC53" s="2349"/>
      <c r="AD53" s="2348"/>
      <c r="AE53" s="3367"/>
      <c r="AF53" s="2349"/>
      <c r="AG53" s="1587"/>
      <c r="AH53" s="1140"/>
      <c r="AI53" s="264"/>
      <c r="AJ53" s="264"/>
      <c r="AK53" s="3703"/>
      <c r="AL53" s="398"/>
    </row>
    <row r="54" spans="1:38" ht="15" customHeight="1">
      <c r="A54" s="340"/>
      <c r="B54" s="555" t="s">
        <v>1225</v>
      </c>
      <c r="C54" s="217"/>
      <c r="D54" s="3047">
        <f>ROUND(SUM(D28+D37+D44+D52),1)</f>
        <v>3869</v>
      </c>
      <c r="E54" s="2502"/>
      <c r="F54" s="3047">
        <f>ROUND(SUM(F28+F37+F44+F52),1)</f>
        <v>0</v>
      </c>
      <c r="G54" s="2502"/>
      <c r="H54" s="3047">
        <f>ROUND(SUM(H28+H37+H44+H52),1)</f>
        <v>0</v>
      </c>
      <c r="I54" s="2502"/>
      <c r="J54" s="3047">
        <f>ROUND(SUM(J28+J37+J44+J52),1)</f>
        <v>0</v>
      </c>
      <c r="K54" s="254"/>
      <c r="L54" s="577">
        <f>ROUND(SUM(L28+L37+L44+L52),1)</f>
        <v>0</v>
      </c>
      <c r="M54" s="254"/>
      <c r="N54" s="577">
        <f>ROUND(SUM(N28+N37+N44+N52),1)</f>
        <v>0</v>
      </c>
      <c r="O54" s="254"/>
      <c r="P54" s="3298">
        <f>ROUND(SUM(P28+P37+P44+P52),1)</f>
        <v>0</v>
      </c>
      <c r="Q54" s="3322"/>
      <c r="R54" s="3298">
        <f>ROUND(SUM(R28+R37+R44+R52),1)</f>
        <v>0</v>
      </c>
      <c r="S54" s="3322"/>
      <c r="T54" s="3298">
        <f>ROUND(SUM(T28+T37+T44+T52),1)</f>
        <v>0</v>
      </c>
      <c r="U54" s="3322"/>
      <c r="V54" s="3298">
        <f>ROUND(SUM(V28+V37+V44+V52),1)</f>
        <v>0</v>
      </c>
      <c r="W54" s="3322"/>
      <c r="X54" s="3298">
        <f>ROUND(SUM(X28+X37+X44+X52),1)</f>
        <v>0</v>
      </c>
      <c r="Y54" s="3322"/>
      <c r="Z54" s="3298">
        <f>ROUND(SUM(Z28+Z37+Z44+Z52),1)</f>
        <v>0</v>
      </c>
      <c r="AA54" s="2350"/>
      <c r="AB54" s="3371"/>
      <c r="AC54" s="3527">
        <f>ROUND(SUM(AC28+AC37+AC44+AC52),1)</f>
        <v>3869</v>
      </c>
      <c r="AD54" s="3322"/>
      <c r="AE54" s="3361"/>
      <c r="AF54" s="3298">
        <f>ROUND(SUM(AF28+AF37+AF44+AF52),1)</f>
        <v>4785.5</v>
      </c>
      <c r="AG54" s="254"/>
      <c r="AH54" s="1138"/>
      <c r="AI54" s="577">
        <f>ROUND(SUM(AI28+AI37+AI44+AI52),1)</f>
        <v>-916.5</v>
      </c>
      <c r="AJ54" s="1608"/>
      <c r="AK54" s="2320">
        <f>ROUND(SUM(+AI54/AF54),3)</f>
        <v>-0.192</v>
      </c>
    </row>
    <row r="55" spans="1:38" ht="8.25" customHeight="1">
      <c r="A55" s="340"/>
      <c r="B55" s="1212"/>
      <c r="C55" s="217"/>
      <c r="D55" s="2502"/>
      <c r="E55" s="2502"/>
      <c r="F55" s="2502"/>
      <c r="G55" s="2502"/>
      <c r="H55" s="2502"/>
      <c r="I55" s="2502"/>
      <c r="J55" s="1544"/>
      <c r="K55" s="254"/>
      <c r="L55" s="254"/>
      <c r="M55" s="254"/>
      <c r="N55" s="254"/>
      <c r="O55" s="254"/>
      <c r="P55" s="3322"/>
      <c r="Q55" s="3322"/>
      <c r="R55" s="3322"/>
      <c r="S55" s="3322"/>
      <c r="T55" s="3322"/>
      <c r="U55" s="3322"/>
      <c r="V55" s="3322"/>
      <c r="W55" s="3322"/>
      <c r="X55" s="3322"/>
      <c r="Y55" s="3322"/>
      <c r="Z55" s="3322"/>
      <c r="AA55" s="2350"/>
      <c r="AB55" s="3371"/>
      <c r="AC55" s="3316"/>
      <c r="AD55" s="3322"/>
      <c r="AE55" s="3361"/>
      <c r="AF55" s="3311"/>
      <c r="AG55" s="254"/>
      <c r="AH55" s="1138"/>
      <c r="AI55" s="1042"/>
      <c r="AJ55" s="1608"/>
      <c r="AK55" s="2316"/>
    </row>
    <row r="56" spans="1:38" ht="15" customHeight="1">
      <c r="A56" s="340"/>
      <c r="B56" s="467" t="s">
        <v>1128</v>
      </c>
      <c r="C56" s="1539"/>
      <c r="D56" s="2502"/>
      <c r="E56" s="1043"/>
      <c r="F56" s="2502"/>
      <c r="G56" s="1043"/>
      <c r="H56" s="2502"/>
      <c r="I56" s="2502"/>
      <c r="J56" s="1544"/>
      <c r="K56" s="254"/>
      <c r="L56" s="254"/>
      <c r="M56" s="254"/>
      <c r="N56" s="254"/>
      <c r="O56" s="254"/>
      <c r="P56" s="3322"/>
      <c r="Q56" s="3322"/>
      <c r="R56" s="3322"/>
      <c r="S56" s="3322"/>
      <c r="T56" s="3322"/>
      <c r="U56" s="3322"/>
      <c r="V56" s="3322"/>
      <c r="W56" s="3322"/>
      <c r="X56" s="3322"/>
      <c r="Y56" s="3322"/>
      <c r="Z56" s="3322"/>
      <c r="AA56" s="2350"/>
      <c r="AB56" s="3371"/>
      <c r="AC56" s="3316"/>
      <c r="AD56" s="3322"/>
      <c r="AE56" s="3361"/>
      <c r="AF56" s="3311"/>
      <c r="AG56" s="254"/>
      <c r="AH56" s="1138"/>
      <c r="AI56" s="1042"/>
      <c r="AJ56" s="1608"/>
      <c r="AK56" s="2316"/>
    </row>
    <row r="57" spans="1:38" ht="15" customHeight="1">
      <c r="A57" s="340"/>
      <c r="B57" s="1541" t="s">
        <v>1253</v>
      </c>
      <c r="C57" s="1539"/>
      <c r="D57" s="2502"/>
      <c r="E57" s="1043"/>
      <c r="F57" s="2502"/>
      <c r="G57" s="1043"/>
      <c r="H57" s="2502"/>
      <c r="I57" s="2502"/>
      <c r="J57" s="1544"/>
      <c r="K57" s="254"/>
      <c r="L57" s="254"/>
      <c r="M57" s="254"/>
      <c r="N57" s="254"/>
      <c r="O57" s="254"/>
      <c r="P57" s="3322"/>
      <c r="Q57" s="3322"/>
      <c r="R57" s="3322"/>
      <c r="S57" s="3322"/>
      <c r="T57" s="3322"/>
      <c r="U57" s="3322"/>
      <c r="V57" s="3322"/>
      <c r="W57" s="3322"/>
      <c r="X57" s="3322"/>
      <c r="Y57" s="3322"/>
      <c r="Z57" s="3322"/>
      <c r="AA57" s="2350"/>
      <c r="AB57" s="3374"/>
      <c r="AC57" s="3316"/>
      <c r="AD57" s="3322"/>
      <c r="AE57" s="3361"/>
      <c r="AF57" s="3316"/>
      <c r="AG57" s="254"/>
      <c r="AH57" s="1138"/>
      <c r="AI57" s="1042"/>
      <c r="AJ57" s="1608"/>
      <c r="AK57" s="2316"/>
    </row>
    <row r="58" spans="1:38" ht="15" customHeight="1">
      <c r="A58" s="340"/>
      <c r="B58" s="1541" t="s">
        <v>1126</v>
      </c>
      <c r="C58" s="1541"/>
      <c r="D58" s="2914">
        <f>$AC58</f>
        <v>0.5</v>
      </c>
      <c r="E58" s="1043"/>
      <c r="F58" s="2501"/>
      <c r="G58" s="1043"/>
      <c r="H58" s="2501"/>
      <c r="I58" s="2502"/>
      <c r="J58" s="1544"/>
      <c r="K58" s="2509"/>
      <c r="L58" s="2743"/>
      <c r="M58" s="2509"/>
      <c r="N58" s="2743"/>
      <c r="O58" s="2509"/>
      <c r="P58" s="2914"/>
      <c r="Q58" s="3314"/>
      <c r="R58" s="2914"/>
      <c r="S58" s="3314"/>
      <c r="T58" s="2914"/>
      <c r="U58" s="3314"/>
      <c r="V58" s="2914"/>
      <c r="W58" s="3314"/>
      <c r="X58" s="2914"/>
      <c r="Y58" s="3314"/>
      <c r="Z58" s="2914"/>
      <c r="AA58" s="3315"/>
      <c r="AB58" s="3318">
        <v>0</v>
      </c>
      <c r="AC58" s="2948">
        <v>0.5</v>
      </c>
      <c r="AD58" s="3369"/>
      <c r="AE58" s="3318">
        <f>ROUND(SUM(D58:AB58),1)</f>
        <v>0.5</v>
      </c>
      <c r="AF58" s="2948">
        <v>0</v>
      </c>
      <c r="AG58" s="1747"/>
      <c r="AH58" s="2989"/>
      <c r="AI58" s="1042">
        <f>ROUND(SUM(+AC58-AF58),1)</f>
        <v>0.5</v>
      </c>
      <c r="AJ58" s="1608"/>
      <c r="AK58" s="2324">
        <f>ROUND(IF(AF58=0,1,AI58/ABS(AF58)),3)</f>
        <v>1</v>
      </c>
    </row>
    <row r="59" spans="1:38" ht="15" customHeight="1">
      <c r="A59" s="340"/>
      <c r="B59" s="1541" t="s">
        <v>1127</v>
      </c>
      <c r="C59" s="1541"/>
      <c r="D59" s="2914">
        <f t="shared" ref="D59:D91" si="11">$AC59</f>
        <v>0.9</v>
      </c>
      <c r="E59" s="1043"/>
      <c r="F59" s="2501"/>
      <c r="G59" s="1043"/>
      <c r="H59" s="2501"/>
      <c r="I59" s="2502"/>
      <c r="J59" s="1544"/>
      <c r="K59" s="2509"/>
      <c r="L59" s="2743"/>
      <c r="M59" s="2509"/>
      <c r="N59" s="2743"/>
      <c r="O59" s="2509"/>
      <c r="P59" s="2914"/>
      <c r="Q59" s="3314"/>
      <c r="R59" s="2914"/>
      <c r="S59" s="3314"/>
      <c r="T59" s="2914"/>
      <c r="U59" s="3314"/>
      <c r="V59" s="2914"/>
      <c r="W59" s="3314"/>
      <c r="X59" s="2914"/>
      <c r="Y59" s="3314"/>
      <c r="Z59" s="2914"/>
      <c r="AA59" s="3315"/>
      <c r="AB59" s="3318">
        <v>0</v>
      </c>
      <c r="AC59" s="2948">
        <v>0.9</v>
      </c>
      <c r="AD59" s="3369"/>
      <c r="AE59" s="3318">
        <f>ROUND(SUM(D59:AB59),1)</f>
        <v>0.9</v>
      </c>
      <c r="AF59" s="2948">
        <v>0.3</v>
      </c>
      <c r="AG59" s="243"/>
      <c r="AH59" s="1138"/>
      <c r="AI59" s="1042">
        <f>ROUND(SUM(+AC59-AF59),1)</f>
        <v>0.6</v>
      </c>
      <c r="AJ59" s="1608"/>
      <c r="AK59" s="2324">
        <f>ROUND(IF(AF59=0,0,AI59/ABS(AF59)),3)</f>
        <v>2</v>
      </c>
    </row>
    <row r="60" spans="1:38" ht="15" customHeight="1">
      <c r="A60" s="340"/>
      <c r="B60" s="1541" t="s">
        <v>1254</v>
      </c>
      <c r="C60" s="1541"/>
      <c r="D60" s="2914" t="s">
        <v>15</v>
      </c>
      <c r="E60" s="1043"/>
      <c r="F60" s="2501"/>
      <c r="G60" s="1043"/>
      <c r="H60" s="2501"/>
      <c r="I60" s="2502"/>
      <c r="J60" s="1544"/>
      <c r="K60" s="307"/>
      <c r="L60" s="2743"/>
      <c r="M60" s="307"/>
      <c r="N60" s="2743"/>
      <c r="O60" s="307"/>
      <c r="P60" s="2914"/>
      <c r="Q60" s="3311"/>
      <c r="R60" s="2914"/>
      <c r="S60" s="3311"/>
      <c r="T60" s="2914"/>
      <c r="U60" s="3311"/>
      <c r="V60" s="2914"/>
      <c r="W60" s="3311"/>
      <c r="X60" s="2914"/>
      <c r="Y60" s="3311"/>
      <c r="Z60" s="2914"/>
      <c r="AA60" s="3307"/>
      <c r="AB60" s="3375"/>
      <c r="AC60" s="3376"/>
      <c r="AD60" s="3290"/>
      <c r="AE60" s="3313"/>
      <c r="AF60" s="3376"/>
      <c r="AG60" s="243"/>
      <c r="AH60" s="1138"/>
      <c r="AI60" s="1042"/>
      <c r="AJ60" s="1608"/>
      <c r="AK60" s="2316"/>
    </row>
    <row r="61" spans="1:38" ht="15" customHeight="1">
      <c r="A61" s="340"/>
      <c r="B61" s="1541" t="s">
        <v>1131</v>
      </c>
      <c r="C61" s="1541"/>
      <c r="D61" s="2914">
        <f t="shared" si="11"/>
        <v>0</v>
      </c>
      <c r="E61" s="1043"/>
      <c r="F61" s="2501"/>
      <c r="G61" s="1043"/>
      <c r="H61" s="2501"/>
      <c r="I61" s="2502"/>
      <c r="J61" s="1544"/>
      <c r="K61" s="2509"/>
      <c r="L61" s="2743"/>
      <c r="M61" s="2509"/>
      <c r="N61" s="2743"/>
      <c r="O61" s="2509"/>
      <c r="P61" s="2914"/>
      <c r="Q61" s="3314"/>
      <c r="R61" s="2914"/>
      <c r="S61" s="3314"/>
      <c r="T61" s="2914"/>
      <c r="U61" s="3314"/>
      <c r="V61" s="2914"/>
      <c r="W61" s="3314"/>
      <c r="X61" s="2914"/>
      <c r="Y61" s="3314"/>
      <c r="Z61" s="2914"/>
      <c r="AA61" s="3315"/>
      <c r="AB61" s="3318">
        <v>0</v>
      </c>
      <c r="AC61" s="2948">
        <v>0</v>
      </c>
      <c r="AD61" s="3369"/>
      <c r="AE61" s="3318">
        <f>ROUND(SUM(D61:AB61),1)</f>
        <v>0</v>
      </c>
      <c r="AF61" s="2948">
        <v>0</v>
      </c>
      <c r="AG61" s="1747"/>
      <c r="AH61" s="2989"/>
      <c r="AI61" s="1042">
        <f>ROUND(SUM(+AC61-AF61),1)</f>
        <v>0</v>
      </c>
      <c r="AJ61" s="1608"/>
      <c r="AK61" s="2324">
        <f>ROUND(IF(AF61=0,0,AI61/ABS(AF61)),3)</f>
        <v>0</v>
      </c>
    </row>
    <row r="62" spans="1:38" ht="15" customHeight="1">
      <c r="A62" s="340"/>
      <c r="B62" s="1541" t="s">
        <v>1132</v>
      </c>
      <c r="C62" s="1541"/>
      <c r="D62" s="2914">
        <f t="shared" si="11"/>
        <v>1.5</v>
      </c>
      <c r="E62" s="1043"/>
      <c r="F62" s="2501"/>
      <c r="G62" s="1043"/>
      <c r="H62" s="2501"/>
      <c r="I62" s="2502"/>
      <c r="J62" s="1544"/>
      <c r="K62" s="2509"/>
      <c r="L62" s="2743"/>
      <c r="M62" s="2509"/>
      <c r="N62" s="2743"/>
      <c r="O62" s="2509"/>
      <c r="P62" s="2914"/>
      <c r="Q62" s="3314"/>
      <c r="R62" s="2914"/>
      <c r="S62" s="3314"/>
      <c r="T62" s="2914"/>
      <c r="U62" s="3314"/>
      <c r="V62" s="2914"/>
      <c r="W62" s="3314"/>
      <c r="X62" s="2914"/>
      <c r="Y62" s="3314"/>
      <c r="Z62" s="2914"/>
      <c r="AA62" s="3315"/>
      <c r="AB62" s="3318">
        <v>0</v>
      </c>
      <c r="AC62" s="2948">
        <v>1.5</v>
      </c>
      <c r="AD62" s="3369"/>
      <c r="AE62" s="3318">
        <f>ROUND(SUM(D62:AB62),1)</f>
        <v>1.5</v>
      </c>
      <c r="AF62" s="2948">
        <v>1.8</v>
      </c>
      <c r="AG62" s="1747"/>
      <c r="AH62" s="2989"/>
      <c r="AI62" s="1042">
        <f>ROUND(SUM(+AC62-AF62),1)</f>
        <v>-0.3</v>
      </c>
      <c r="AJ62" s="1608"/>
      <c r="AK62" s="2324">
        <f>ROUND(IF(AF62=0,0,AI62/ABS(AF62)),3)</f>
        <v>-0.16700000000000001</v>
      </c>
    </row>
    <row r="63" spans="1:38" ht="15" customHeight="1">
      <c r="A63" s="340"/>
      <c r="B63" s="1541" t="s">
        <v>1133</v>
      </c>
      <c r="C63" s="1541"/>
      <c r="D63" s="2914">
        <f t="shared" si="11"/>
        <v>0</v>
      </c>
      <c r="E63" s="1043"/>
      <c r="F63" s="2501"/>
      <c r="G63" s="1043"/>
      <c r="H63" s="2501"/>
      <c r="I63" s="2502"/>
      <c r="J63" s="1544"/>
      <c r="K63" s="2509"/>
      <c r="L63" s="2743"/>
      <c r="M63" s="2509"/>
      <c r="N63" s="2743"/>
      <c r="O63" s="2509"/>
      <c r="P63" s="2914"/>
      <c r="Q63" s="3314"/>
      <c r="R63" s="2914"/>
      <c r="S63" s="3314"/>
      <c r="T63" s="2914"/>
      <c r="U63" s="3314"/>
      <c r="V63" s="2914"/>
      <c r="W63" s="3314"/>
      <c r="X63" s="2914"/>
      <c r="Y63" s="3314"/>
      <c r="Z63" s="2914"/>
      <c r="AA63" s="3315"/>
      <c r="AB63" s="3318">
        <v>0</v>
      </c>
      <c r="AC63" s="2948">
        <v>0</v>
      </c>
      <c r="AD63" s="3369"/>
      <c r="AE63" s="3318">
        <f>ROUND(SUM(D63:AB63),1)</f>
        <v>0</v>
      </c>
      <c r="AF63" s="2948">
        <v>0</v>
      </c>
      <c r="AG63" s="1747"/>
      <c r="AH63" s="2989"/>
      <c r="AI63" s="1042">
        <f>ROUND(SUM(+AC63-AF63),1)</f>
        <v>0</v>
      </c>
      <c r="AJ63" s="1608"/>
      <c r="AK63" s="2324">
        <f>ROUND(IF(AF63=0,0,AI63/ABS(AF63)),3)</f>
        <v>0</v>
      </c>
    </row>
    <row r="64" spans="1:38" ht="15">
      <c r="A64" s="340"/>
      <c r="B64" s="1541" t="s">
        <v>1134</v>
      </c>
      <c r="C64" s="1541"/>
      <c r="D64" s="2914">
        <f t="shared" si="11"/>
        <v>0</v>
      </c>
      <c r="E64" s="1043"/>
      <c r="F64" s="2501"/>
      <c r="G64" s="1043"/>
      <c r="H64" s="2501"/>
      <c r="I64" s="2502"/>
      <c r="J64" s="1544"/>
      <c r="K64" s="2509"/>
      <c r="L64" s="2743"/>
      <c r="M64" s="2509"/>
      <c r="N64" s="2743"/>
      <c r="O64" s="2509"/>
      <c r="P64" s="2914"/>
      <c r="Q64" s="3314"/>
      <c r="R64" s="2914"/>
      <c r="S64" s="3314"/>
      <c r="T64" s="2914"/>
      <c r="U64" s="3314"/>
      <c r="V64" s="2914"/>
      <c r="W64" s="3314"/>
      <c r="X64" s="2914"/>
      <c r="Y64" s="3314"/>
      <c r="Z64" s="2914"/>
      <c r="AA64" s="3315"/>
      <c r="AB64" s="3318">
        <v>0</v>
      </c>
      <c r="AC64" s="2948">
        <v>0</v>
      </c>
      <c r="AD64" s="3369"/>
      <c r="AE64" s="3318">
        <f>ROUND(SUM(D64:AB64),1)</f>
        <v>0</v>
      </c>
      <c r="AF64" s="2948">
        <v>0</v>
      </c>
      <c r="AG64" s="1747"/>
      <c r="AH64" s="2989"/>
      <c r="AI64" s="1042">
        <f>ROUND(SUM(+AC64-AF64),1)</f>
        <v>0</v>
      </c>
      <c r="AJ64" s="1608"/>
      <c r="AK64" s="2324">
        <f>ROUND(IF(AF64=0,0,AI64/ABS(AF64)),3)</f>
        <v>0</v>
      </c>
    </row>
    <row r="65" spans="1:37" ht="15" customHeight="1">
      <c r="A65" s="340"/>
      <c r="B65" s="1541" t="s">
        <v>1259</v>
      </c>
      <c r="C65" s="1541"/>
      <c r="D65" s="2914" t="s">
        <v>15</v>
      </c>
      <c r="E65" s="1043"/>
      <c r="F65" s="2501"/>
      <c r="G65" s="1043"/>
      <c r="H65" s="2501"/>
      <c r="I65" s="2502"/>
      <c r="J65" s="1544"/>
      <c r="K65" s="307"/>
      <c r="L65" s="2743"/>
      <c r="M65" s="307"/>
      <c r="N65" s="2743"/>
      <c r="O65" s="307"/>
      <c r="P65" s="2914"/>
      <c r="Q65" s="3311"/>
      <c r="R65" s="2914"/>
      <c r="S65" s="3311"/>
      <c r="T65" s="2914"/>
      <c r="U65" s="3311"/>
      <c r="V65" s="2914"/>
      <c r="W65" s="3311"/>
      <c r="X65" s="2914"/>
      <c r="Y65" s="3311"/>
      <c r="Z65" s="2914"/>
      <c r="AA65" s="3307"/>
      <c r="AB65" s="3375"/>
      <c r="AC65" s="3376"/>
      <c r="AD65" s="3290"/>
      <c r="AE65" s="3313"/>
      <c r="AF65" s="3376"/>
      <c r="AG65" s="243"/>
      <c r="AH65" s="1138"/>
      <c r="AI65" s="1042"/>
      <c r="AJ65" s="1608"/>
      <c r="AK65" s="2316"/>
    </row>
    <row r="66" spans="1:37" ht="15" customHeight="1">
      <c r="A66" s="340"/>
      <c r="B66" s="1541" t="s">
        <v>1135</v>
      </c>
      <c r="C66" s="1541"/>
      <c r="D66" s="2914">
        <f t="shared" si="11"/>
        <v>5.7</v>
      </c>
      <c r="E66" s="1043"/>
      <c r="F66" s="2501"/>
      <c r="G66" s="1043"/>
      <c r="H66" s="2501"/>
      <c r="I66" s="2502"/>
      <c r="J66" s="1544"/>
      <c r="K66" s="2509"/>
      <c r="L66" s="2743"/>
      <c r="M66" s="2509"/>
      <c r="N66" s="2743"/>
      <c r="O66" s="2509"/>
      <c r="P66" s="2914"/>
      <c r="Q66" s="3314"/>
      <c r="R66" s="2914"/>
      <c r="S66" s="3314"/>
      <c r="T66" s="2914"/>
      <c r="U66" s="3314"/>
      <c r="V66" s="2914"/>
      <c r="W66" s="3314"/>
      <c r="X66" s="2914"/>
      <c r="Y66" s="3314"/>
      <c r="Z66" s="2914"/>
      <c r="AA66" s="3315"/>
      <c r="AB66" s="3318">
        <v>0</v>
      </c>
      <c r="AC66" s="2948">
        <v>5.7</v>
      </c>
      <c r="AD66" s="3369"/>
      <c r="AE66" s="3318">
        <f t="shared" ref="AE66:AE74" si="12">ROUND(SUM(D66:AB66),1)</f>
        <v>5.7</v>
      </c>
      <c r="AF66" s="2948">
        <v>6.1</v>
      </c>
      <c r="AG66" s="243"/>
      <c r="AH66" s="1138"/>
      <c r="AI66" s="1042">
        <f t="shared" ref="AI66:AI73" si="13">ROUND(SUM(+AC66-AF66),1)</f>
        <v>-0.4</v>
      </c>
      <c r="AJ66" s="1608"/>
      <c r="AK66" s="2324">
        <f>ROUND(IF(AF66=0,0,AI66/ABS(AF66)),3)</f>
        <v>-6.6000000000000003E-2</v>
      </c>
    </row>
    <row r="67" spans="1:37" ht="15" customHeight="1">
      <c r="A67" s="340"/>
      <c r="B67" s="1541" t="s">
        <v>1368</v>
      </c>
      <c r="C67" s="1541"/>
      <c r="D67" s="2914">
        <f t="shared" si="11"/>
        <v>0</v>
      </c>
      <c r="E67" s="1043"/>
      <c r="F67" s="2501"/>
      <c r="G67" s="1043"/>
      <c r="H67" s="2501"/>
      <c r="I67" s="2502"/>
      <c r="J67" s="1544"/>
      <c r="K67" s="2509"/>
      <c r="L67" s="2743"/>
      <c r="M67" s="2509"/>
      <c r="N67" s="2743"/>
      <c r="O67" s="2509"/>
      <c r="P67" s="2914"/>
      <c r="Q67" s="3314"/>
      <c r="R67" s="2914"/>
      <c r="S67" s="3314"/>
      <c r="T67" s="2914"/>
      <c r="U67" s="3314"/>
      <c r="V67" s="2914"/>
      <c r="W67" s="3314"/>
      <c r="X67" s="2914"/>
      <c r="Y67" s="3314"/>
      <c r="Z67" s="2914"/>
      <c r="AA67" s="3315"/>
      <c r="AB67" s="3377">
        <v>0</v>
      </c>
      <c r="AC67" s="2948">
        <v>0</v>
      </c>
      <c r="AD67" s="3369"/>
      <c r="AE67" s="3377">
        <f>ROUND(SUM(D67:AB67),1)</f>
        <v>0</v>
      </c>
      <c r="AF67" s="2948">
        <v>0</v>
      </c>
      <c r="AG67" s="243"/>
      <c r="AH67" s="1138"/>
      <c r="AI67" s="2502">
        <f>ROUND(SUM(+AC67-AF67),1)</f>
        <v>0</v>
      </c>
      <c r="AJ67" s="1608"/>
      <c r="AK67" s="2324">
        <f>ROUND(IF(AF67=0,0,AI67/ABS(AF67)),3)</f>
        <v>0</v>
      </c>
    </row>
    <row r="68" spans="1:37" ht="15" customHeight="1">
      <c r="A68" s="340"/>
      <c r="B68" s="1541" t="s">
        <v>1136</v>
      </c>
      <c r="C68" s="1541"/>
      <c r="D68" s="2914">
        <f t="shared" si="11"/>
        <v>13.2</v>
      </c>
      <c r="E68" s="1043"/>
      <c r="F68" s="2501"/>
      <c r="G68" s="1043"/>
      <c r="H68" s="2501"/>
      <c r="I68" s="2502"/>
      <c r="J68" s="1544"/>
      <c r="K68" s="2509"/>
      <c r="L68" s="2743"/>
      <c r="M68" s="2509"/>
      <c r="N68" s="2743"/>
      <c r="O68" s="2509"/>
      <c r="P68" s="2914"/>
      <c r="Q68" s="3314"/>
      <c r="R68" s="2914"/>
      <c r="S68" s="3314"/>
      <c r="T68" s="2914"/>
      <c r="U68" s="3314"/>
      <c r="V68" s="2914"/>
      <c r="W68" s="3314"/>
      <c r="X68" s="2914"/>
      <c r="Y68" s="3314"/>
      <c r="Z68" s="2914"/>
      <c r="AA68" s="3315"/>
      <c r="AB68" s="3318">
        <v>0</v>
      </c>
      <c r="AC68" s="2948">
        <v>13.2</v>
      </c>
      <c r="AD68" s="3369"/>
      <c r="AE68" s="3318">
        <f t="shared" si="12"/>
        <v>13.2</v>
      </c>
      <c r="AF68" s="2948">
        <v>1.5</v>
      </c>
      <c r="AG68" s="1747"/>
      <c r="AH68" s="2989"/>
      <c r="AI68" s="1042">
        <f t="shared" si="13"/>
        <v>11.7</v>
      </c>
      <c r="AJ68" s="1608"/>
      <c r="AK68" s="2324">
        <f>ROUND(IF(AF68=0,0,AI68/ABS(AF68)),3)</f>
        <v>7.8</v>
      </c>
    </row>
    <row r="69" spans="1:37" ht="15" customHeight="1">
      <c r="A69" s="340"/>
      <c r="B69" s="1541" t="s">
        <v>1137</v>
      </c>
      <c r="C69" s="1541"/>
      <c r="D69" s="2914">
        <f t="shared" si="11"/>
        <v>23.8</v>
      </c>
      <c r="E69" s="1043"/>
      <c r="F69" s="2501"/>
      <c r="G69" s="1043"/>
      <c r="H69" s="2501"/>
      <c r="I69" s="2502"/>
      <c r="J69" s="1544"/>
      <c r="K69" s="2509"/>
      <c r="L69" s="2743"/>
      <c r="M69" s="2509"/>
      <c r="N69" s="2743"/>
      <c r="O69" s="2509"/>
      <c r="P69" s="2914"/>
      <c r="Q69" s="3314"/>
      <c r="R69" s="2914"/>
      <c r="S69" s="3314"/>
      <c r="T69" s="2914"/>
      <c r="U69" s="3314"/>
      <c r="V69" s="2914"/>
      <c r="W69" s="3314"/>
      <c r="X69" s="2914"/>
      <c r="Y69" s="3314"/>
      <c r="Z69" s="2914"/>
      <c r="AA69" s="3315"/>
      <c r="AB69" s="3318">
        <v>0</v>
      </c>
      <c r="AC69" s="2948">
        <v>23.8</v>
      </c>
      <c r="AD69" s="3369"/>
      <c r="AE69" s="3318">
        <f t="shared" si="12"/>
        <v>23.8</v>
      </c>
      <c r="AF69" s="2948">
        <v>17.399999999999999</v>
      </c>
      <c r="AG69" s="1747"/>
      <c r="AH69" s="2989"/>
      <c r="AI69" s="1042">
        <f t="shared" si="13"/>
        <v>6.4</v>
      </c>
      <c r="AJ69" s="1608"/>
      <c r="AK69" s="2324">
        <f>ROUND(IF(AF69=0,0,AI69/ABS(AF69)),3)</f>
        <v>0.36799999999999999</v>
      </c>
    </row>
    <row r="70" spans="1:37" ht="15" customHeight="1">
      <c r="A70" s="340"/>
      <c r="B70" s="1541" t="s">
        <v>1138</v>
      </c>
      <c r="C70" s="1541"/>
      <c r="D70" s="2914">
        <f t="shared" si="11"/>
        <v>0.1</v>
      </c>
      <c r="E70" s="1043"/>
      <c r="F70" s="2501"/>
      <c r="G70" s="1043"/>
      <c r="H70" s="2501"/>
      <c r="I70" s="2502"/>
      <c r="J70" s="1544"/>
      <c r="K70" s="2509"/>
      <c r="L70" s="2743"/>
      <c r="M70" s="2509"/>
      <c r="N70" s="2743"/>
      <c r="O70" s="2509"/>
      <c r="P70" s="2914"/>
      <c r="Q70" s="3314"/>
      <c r="R70" s="2914"/>
      <c r="S70" s="3314"/>
      <c r="T70" s="2914"/>
      <c r="U70" s="3314"/>
      <c r="V70" s="2914"/>
      <c r="W70" s="3314"/>
      <c r="X70" s="2914"/>
      <c r="Y70" s="3314"/>
      <c r="Z70" s="2914"/>
      <c r="AA70" s="3315"/>
      <c r="AB70" s="3318">
        <v>0</v>
      </c>
      <c r="AC70" s="2948">
        <v>0.1</v>
      </c>
      <c r="AD70" s="3369"/>
      <c r="AE70" s="3318">
        <f t="shared" si="12"/>
        <v>0.1</v>
      </c>
      <c r="AF70" s="2948">
        <v>0.2</v>
      </c>
      <c r="AG70" s="1747"/>
      <c r="AH70" s="2989"/>
      <c r="AI70" s="1042">
        <f t="shared" si="13"/>
        <v>-0.1</v>
      </c>
      <c r="AJ70" s="1608"/>
      <c r="AK70" s="2324">
        <f>ROUND(IF(AF70=0,0,AI70/ABS(AF70)),3)</f>
        <v>-0.5</v>
      </c>
    </row>
    <row r="71" spans="1:37" ht="15" customHeight="1">
      <c r="A71" s="340"/>
      <c r="B71" s="1541" t="s">
        <v>1139</v>
      </c>
      <c r="C71" s="1541"/>
      <c r="D71" s="2914">
        <f t="shared" si="11"/>
        <v>29.8</v>
      </c>
      <c r="E71" s="1043"/>
      <c r="F71" s="2501"/>
      <c r="G71" s="1043"/>
      <c r="H71" s="2501"/>
      <c r="I71" s="2502"/>
      <c r="J71" s="1544"/>
      <c r="K71" s="2509"/>
      <c r="L71" s="2743"/>
      <c r="M71" s="2509"/>
      <c r="N71" s="2743"/>
      <c r="O71" s="2509"/>
      <c r="P71" s="2914"/>
      <c r="Q71" s="3314"/>
      <c r="R71" s="2914"/>
      <c r="S71" s="3314"/>
      <c r="T71" s="2914"/>
      <c r="U71" s="3314"/>
      <c r="V71" s="2914"/>
      <c r="W71" s="3314"/>
      <c r="X71" s="2914"/>
      <c r="Y71" s="3314"/>
      <c r="Z71" s="2914"/>
      <c r="AA71" s="3315"/>
      <c r="AB71" s="3318">
        <v>0</v>
      </c>
      <c r="AC71" s="2948">
        <v>29.8</v>
      </c>
      <c r="AD71" s="3369"/>
      <c r="AE71" s="3318">
        <f t="shared" si="12"/>
        <v>29.8</v>
      </c>
      <c r="AF71" s="2948">
        <v>35.700000000000003</v>
      </c>
      <c r="AG71" s="1747"/>
      <c r="AH71" s="2989"/>
      <c r="AI71" s="1042">
        <f t="shared" si="13"/>
        <v>-5.9</v>
      </c>
      <c r="AJ71" s="1608"/>
      <c r="AK71" s="2372">
        <f>ROUND(IF(AF71=0,1,AI71/ABS(AF71)),3)</f>
        <v>-0.16500000000000001</v>
      </c>
    </row>
    <row r="72" spans="1:37" ht="15" customHeight="1">
      <c r="A72" s="340"/>
      <c r="B72" s="1541" t="s">
        <v>1140</v>
      </c>
      <c r="C72" s="1541"/>
      <c r="D72" s="2914">
        <f t="shared" si="11"/>
        <v>1</v>
      </c>
      <c r="E72" s="1043"/>
      <c r="F72" s="2501"/>
      <c r="G72" s="1043"/>
      <c r="H72" s="2501"/>
      <c r="I72" s="2502"/>
      <c r="J72" s="1544"/>
      <c r="K72" s="2509"/>
      <c r="L72" s="2743"/>
      <c r="M72" s="2509"/>
      <c r="N72" s="2743"/>
      <c r="O72" s="2509"/>
      <c r="P72" s="2914"/>
      <c r="Q72" s="3314"/>
      <c r="R72" s="2914"/>
      <c r="S72" s="3314"/>
      <c r="T72" s="2914"/>
      <c r="U72" s="3314"/>
      <c r="V72" s="2914"/>
      <c r="W72" s="3314"/>
      <c r="X72" s="2914"/>
      <c r="Y72" s="3314"/>
      <c r="Z72" s="2914"/>
      <c r="AA72" s="3315"/>
      <c r="AB72" s="3318">
        <v>0</v>
      </c>
      <c r="AC72" s="2948">
        <v>1</v>
      </c>
      <c r="AD72" s="3369"/>
      <c r="AE72" s="3318">
        <f t="shared" si="12"/>
        <v>1</v>
      </c>
      <c r="AF72" s="2948">
        <v>1.1000000000000001</v>
      </c>
      <c r="AG72" s="1747"/>
      <c r="AH72" s="2989"/>
      <c r="AI72" s="1042">
        <f t="shared" si="13"/>
        <v>-0.1</v>
      </c>
      <c r="AJ72" s="1608"/>
      <c r="AK72" s="2324">
        <f>ROUND(IF(AF72=0,0,AI72/ABS(AF72)),3)</f>
        <v>-9.0999999999999998E-2</v>
      </c>
    </row>
    <row r="73" spans="1:37" ht="15" customHeight="1">
      <c r="A73" s="340"/>
      <c r="B73" s="1541" t="s">
        <v>1129</v>
      </c>
      <c r="C73" s="1541"/>
      <c r="D73" s="2914">
        <f t="shared" si="11"/>
        <v>14.2</v>
      </c>
      <c r="E73" s="1043"/>
      <c r="F73" s="2501"/>
      <c r="G73" s="1043"/>
      <c r="H73" s="2501"/>
      <c r="I73" s="2502"/>
      <c r="J73" s="1544"/>
      <c r="K73" s="2509"/>
      <c r="L73" s="2743"/>
      <c r="M73" s="2509"/>
      <c r="N73" s="2743"/>
      <c r="O73" s="2509"/>
      <c r="P73" s="2914"/>
      <c r="Q73" s="3314"/>
      <c r="R73" s="2914"/>
      <c r="S73" s="3314"/>
      <c r="T73" s="2914"/>
      <c r="U73" s="3314"/>
      <c r="V73" s="2914"/>
      <c r="W73" s="3314"/>
      <c r="X73" s="2914"/>
      <c r="Y73" s="3314"/>
      <c r="Z73" s="2914"/>
      <c r="AA73" s="3315"/>
      <c r="AB73" s="3318">
        <v>0</v>
      </c>
      <c r="AC73" s="2948">
        <v>14.2</v>
      </c>
      <c r="AD73" s="3369"/>
      <c r="AE73" s="3318">
        <f t="shared" si="12"/>
        <v>14.2</v>
      </c>
      <c r="AF73" s="2948">
        <v>6.6</v>
      </c>
      <c r="AG73" s="1747"/>
      <c r="AH73" s="2989"/>
      <c r="AI73" s="1042">
        <f t="shared" si="13"/>
        <v>7.6</v>
      </c>
      <c r="AJ73" s="1608"/>
      <c r="AK73" s="2324">
        <f>ROUND(IF(AF73=0,0,AI73/ABS(AF73)),3)</f>
        <v>1.1519999999999999</v>
      </c>
    </row>
    <row r="74" spans="1:37" ht="15" customHeight="1">
      <c r="A74" s="340"/>
      <c r="B74" s="1541" t="s">
        <v>1130</v>
      </c>
      <c r="C74" s="1541"/>
      <c r="D74" s="2914">
        <f t="shared" si="11"/>
        <v>17.399999999999999</v>
      </c>
      <c r="E74" s="1043"/>
      <c r="F74" s="2501"/>
      <c r="G74" s="1043"/>
      <c r="H74" s="2501"/>
      <c r="I74" s="2502"/>
      <c r="J74" s="1544"/>
      <c r="K74" s="2509"/>
      <c r="L74" s="2743"/>
      <c r="M74" s="2509"/>
      <c r="N74" s="2743"/>
      <c r="O74" s="2509"/>
      <c r="P74" s="2914"/>
      <c r="Q74" s="3314"/>
      <c r="R74" s="2914"/>
      <c r="S74" s="3314"/>
      <c r="T74" s="2914"/>
      <c r="U74" s="3314"/>
      <c r="V74" s="2914"/>
      <c r="W74" s="3314"/>
      <c r="X74" s="2914"/>
      <c r="Y74" s="3314"/>
      <c r="Z74" s="2914"/>
      <c r="AA74" s="3315"/>
      <c r="AB74" s="3318">
        <v>0</v>
      </c>
      <c r="AC74" s="2948">
        <v>17.399999999999999</v>
      </c>
      <c r="AD74" s="3369"/>
      <c r="AE74" s="3318">
        <f t="shared" si="12"/>
        <v>17.399999999999999</v>
      </c>
      <c r="AF74" s="2948">
        <v>3.8</v>
      </c>
      <c r="AG74" s="243"/>
      <c r="AH74" s="1138"/>
      <c r="AI74" s="1042">
        <f>ROUND(SUM(+AC74-AF74),1)</f>
        <v>13.6</v>
      </c>
      <c r="AJ74" s="1608"/>
      <c r="AK74" s="2372">
        <f>ROUND(IF(AF74=0,1,AI74/ABS(AF74)),3)</f>
        <v>3.5790000000000002</v>
      </c>
    </row>
    <row r="75" spans="1:37" ht="15" customHeight="1">
      <c r="A75" s="340"/>
      <c r="B75" s="1541" t="s">
        <v>1257</v>
      </c>
      <c r="C75" s="1541"/>
      <c r="D75" s="2914" t="s">
        <v>15</v>
      </c>
      <c r="E75" s="1043"/>
      <c r="F75" s="2501"/>
      <c r="G75" s="1043"/>
      <c r="H75" s="2501"/>
      <c r="I75" s="2502"/>
      <c r="J75" s="1544"/>
      <c r="K75" s="307"/>
      <c r="L75" s="2743"/>
      <c r="M75" s="307"/>
      <c r="N75" s="2743"/>
      <c r="O75" s="307"/>
      <c r="P75" s="2914"/>
      <c r="Q75" s="3311"/>
      <c r="R75" s="2914"/>
      <c r="S75" s="3311"/>
      <c r="T75" s="2914"/>
      <c r="U75" s="3311"/>
      <c r="V75" s="2914"/>
      <c r="W75" s="3311"/>
      <c r="X75" s="2914"/>
      <c r="Y75" s="3311"/>
      <c r="Z75" s="2914"/>
      <c r="AA75" s="3307"/>
      <c r="AB75" s="3375"/>
      <c r="AC75" s="3376"/>
      <c r="AD75" s="3290"/>
      <c r="AE75" s="3313"/>
      <c r="AF75" s="3376"/>
      <c r="AG75" s="243"/>
      <c r="AH75" s="1138"/>
      <c r="AI75" s="1042"/>
      <c r="AJ75" s="1608"/>
      <c r="AK75" s="2316"/>
    </row>
    <row r="76" spans="1:37" ht="15" customHeight="1">
      <c r="A76" s="340"/>
      <c r="B76" s="1541" t="s">
        <v>1145</v>
      </c>
      <c r="C76" s="1541"/>
      <c r="D76" s="2914">
        <f t="shared" si="11"/>
        <v>0</v>
      </c>
      <c r="E76" s="1043"/>
      <c r="F76" s="2501"/>
      <c r="G76" s="1043"/>
      <c r="H76" s="2501"/>
      <c r="I76" s="2502"/>
      <c r="J76" s="1544"/>
      <c r="K76" s="2509"/>
      <c r="L76" s="2743"/>
      <c r="M76" s="2509"/>
      <c r="N76" s="2743"/>
      <c r="O76" s="2509"/>
      <c r="P76" s="2914"/>
      <c r="Q76" s="3314"/>
      <c r="R76" s="2914"/>
      <c r="S76" s="3314"/>
      <c r="T76" s="2914"/>
      <c r="U76" s="3314"/>
      <c r="V76" s="2914"/>
      <c r="W76" s="3314"/>
      <c r="X76" s="2914"/>
      <c r="Y76" s="3314"/>
      <c r="Z76" s="2914"/>
      <c r="AA76" s="3315"/>
      <c r="AB76" s="3318">
        <v>0</v>
      </c>
      <c r="AC76" s="2948">
        <v>0</v>
      </c>
      <c r="AD76" s="3369"/>
      <c r="AE76" s="3318">
        <f>ROUND(SUM(D76:AB76),1)</f>
        <v>0</v>
      </c>
      <c r="AF76" s="2948">
        <v>0</v>
      </c>
      <c r="AG76" s="1747"/>
      <c r="AH76" s="2989"/>
      <c r="AI76" s="1042">
        <f>ROUND(SUM(+AC76-AF76),1)</f>
        <v>0</v>
      </c>
      <c r="AJ76" s="1608"/>
      <c r="AK76" s="2324">
        <f>ROUND(IF(AF76=0,0,AI76/ABS(AF76)),3)</f>
        <v>0</v>
      </c>
    </row>
    <row r="77" spans="1:37" ht="15" customHeight="1">
      <c r="A77" s="340"/>
      <c r="B77" s="1541" t="s">
        <v>1146</v>
      </c>
      <c r="C77" s="1541"/>
      <c r="D77" s="2914">
        <f t="shared" si="11"/>
        <v>4.7</v>
      </c>
      <c r="E77" s="1043"/>
      <c r="F77" s="2501"/>
      <c r="G77" s="1043"/>
      <c r="H77" s="2501"/>
      <c r="I77" s="2502"/>
      <c r="J77" s="1544"/>
      <c r="K77" s="2509"/>
      <c r="L77" s="2743"/>
      <c r="M77" s="2509"/>
      <c r="N77" s="2743"/>
      <c r="O77" s="2509"/>
      <c r="P77" s="2914"/>
      <c r="Q77" s="3314"/>
      <c r="R77" s="2914"/>
      <c r="S77" s="3314"/>
      <c r="T77" s="2914"/>
      <c r="U77" s="3314"/>
      <c r="V77" s="2914"/>
      <c r="W77" s="3314"/>
      <c r="X77" s="2914"/>
      <c r="Y77" s="3314"/>
      <c r="Z77" s="2914"/>
      <c r="AA77" s="3315"/>
      <c r="AB77" s="3318">
        <v>0</v>
      </c>
      <c r="AC77" s="2948">
        <v>4.7</v>
      </c>
      <c r="AD77" s="3369"/>
      <c r="AE77" s="3318">
        <f>ROUND(SUM(D77:AB77),1)</f>
        <v>4.7</v>
      </c>
      <c r="AF77" s="2948">
        <v>0</v>
      </c>
      <c r="AG77" s="1747"/>
      <c r="AH77" s="2989"/>
      <c r="AI77" s="1042">
        <f>ROUND(SUM(+AC77-AF77),1)</f>
        <v>4.7</v>
      </c>
      <c r="AJ77" s="1608"/>
      <c r="AK77" s="2324">
        <f>ROUND(IF(AF77=0,1,AI77/ABS(AF77)),3)</f>
        <v>1</v>
      </c>
    </row>
    <row r="78" spans="1:37" ht="15" customHeight="1">
      <c r="A78" s="340"/>
      <c r="B78" s="1541" t="s">
        <v>1147</v>
      </c>
      <c r="C78" s="1541"/>
      <c r="D78" s="2914">
        <f t="shared" si="11"/>
        <v>0</v>
      </c>
      <c r="E78" s="1043"/>
      <c r="F78" s="2501"/>
      <c r="G78" s="1043"/>
      <c r="H78" s="2501"/>
      <c r="I78" s="2502"/>
      <c r="J78" s="1544"/>
      <c r="K78" s="2509"/>
      <c r="L78" s="2743"/>
      <c r="M78" s="2509"/>
      <c r="N78" s="2743"/>
      <c r="O78" s="2509"/>
      <c r="P78" s="2914"/>
      <c r="Q78" s="3314"/>
      <c r="R78" s="2914"/>
      <c r="S78" s="3314"/>
      <c r="T78" s="2914"/>
      <c r="U78" s="3314"/>
      <c r="V78" s="2914"/>
      <c r="W78" s="3314"/>
      <c r="X78" s="2914"/>
      <c r="Y78" s="3314"/>
      <c r="Z78" s="2914"/>
      <c r="AA78" s="3315"/>
      <c r="AB78" s="3318">
        <v>0</v>
      </c>
      <c r="AC78" s="2948">
        <v>0</v>
      </c>
      <c r="AD78" s="3369"/>
      <c r="AE78" s="3318">
        <f>ROUND(SUM(D78:AB78),1)</f>
        <v>0</v>
      </c>
      <c r="AF78" s="2948">
        <v>0</v>
      </c>
      <c r="AG78" s="1747"/>
      <c r="AH78" s="2989"/>
      <c r="AI78" s="1042">
        <f>ROUND(SUM(+AC78-AF78),1)</f>
        <v>0</v>
      </c>
      <c r="AJ78" s="1608"/>
      <c r="AK78" s="2372">
        <f>ROUND(IF(AF78=0,0,AI78/ABS(AF78)),3)</f>
        <v>0</v>
      </c>
    </row>
    <row r="79" spans="1:37" ht="15" customHeight="1">
      <c r="A79" s="340"/>
      <c r="B79" s="1541" t="s">
        <v>1148</v>
      </c>
      <c r="C79" s="1541"/>
      <c r="D79" s="2914">
        <f t="shared" si="11"/>
        <v>16.7</v>
      </c>
      <c r="E79" s="1043"/>
      <c r="F79" s="2501"/>
      <c r="G79" s="1043"/>
      <c r="H79" s="2501"/>
      <c r="I79" s="2502"/>
      <c r="J79" s="1544"/>
      <c r="K79" s="2509"/>
      <c r="L79" s="2743"/>
      <c r="M79" s="2509"/>
      <c r="N79" s="2743"/>
      <c r="O79" s="2509"/>
      <c r="P79" s="2914"/>
      <c r="Q79" s="3314"/>
      <c r="R79" s="2914"/>
      <c r="S79" s="3314"/>
      <c r="T79" s="2914"/>
      <c r="U79" s="3314"/>
      <c r="V79" s="2914"/>
      <c r="W79" s="3314"/>
      <c r="X79" s="2914"/>
      <c r="Y79" s="3314"/>
      <c r="Z79" s="2914"/>
      <c r="AA79" s="3315"/>
      <c r="AB79" s="3318">
        <v>0</v>
      </c>
      <c r="AC79" s="2948">
        <v>16.7</v>
      </c>
      <c r="AD79" s="3369"/>
      <c r="AE79" s="3318">
        <f>ROUND(SUM(D79:AB79),1)</f>
        <v>16.7</v>
      </c>
      <c r="AF79" s="2948">
        <v>16.7</v>
      </c>
      <c r="AG79" s="1747"/>
      <c r="AH79" s="2989"/>
      <c r="AI79" s="1042">
        <f>ROUND(SUM(+AC79-AF79),1)</f>
        <v>0</v>
      </c>
      <c r="AJ79" s="1608"/>
      <c r="AK79" s="2324">
        <f>ROUND(IF(AF79=0,1,AI79/ABS(AF79)),3)</f>
        <v>0</v>
      </c>
    </row>
    <row r="80" spans="1:37" ht="15" customHeight="1">
      <c r="A80" s="340"/>
      <c r="B80" s="1541" t="s">
        <v>1149</v>
      </c>
      <c r="C80" s="1541"/>
      <c r="D80" s="2914">
        <f t="shared" si="11"/>
        <v>0.2</v>
      </c>
      <c r="E80" s="1043"/>
      <c r="F80" s="2501"/>
      <c r="G80" s="1043"/>
      <c r="H80" s="2501"/>
      <c r="I80" s="2502"/>
      <c r="J80" s="1544"/>
      <c r="K80" s="2509"/>
      <c r="L80" s="2743"/>
      <c r="M80" s="2509"/>
      <c r="N80" s="2743"/>
      <c r="O80" s="2509"/>
      <c r="P80" s="2914"/>
      <c r="Q80" s="3314"/>
      <c r="R80" s="2914"/>
      <c r="S80" s="3314"/>
      <c r="T80" s="2914"/>
      <c r="U80" s="3314"/>
      <c r="V80" s="2914"/>
      <c r="W80" s="3314"/>
      <c r="X80" s="2914"/>
      <c r="Y80" s="3314"/>
      <c r="Z80" s="2914"/>
      <c r="AA80" s="3315"/>
      <c r="AB80" s="3318">
        <v>0</v>
      </c>
      <c r="AC80" s="2948">
        <v>0.2</v>
      </c>
      <c r="AD80" s="3369"/>
      <c r="AE80" s="3318">
        <f>ROUND(SUM(D80:AB80),1)</f>
        <v>0.2</v>
      </c>
      <c r="AF80" s="2948">
        <v>0.8</v>
      </c>
      <c r="AG80" s="1747"/>
      <c r="AH80" s="2989"/>
      <c r="AI80" s="1042">
        <f>ROUND(SUM(+AC80-AF80),1)</f>
        <v>-0.6</v>
      </c>
      <c r="AJ80" s="1608"/>
      <c r="AK80" s="2372">
        <f>ROUND(IF(AF80=0,0,AI80/ABS(AF80)),3)</f>
        <v>-0.75</v>
      </c>
    </row>
    <row r="81" spans="1:38" ht="15" customHeight="1">
      <c r="A81" s="340"/>
      <c r="B81" s="1541" t="s">
        <v>1258</v>
      </c>
      <c r="C81" s="1541"/>
      <c r="D81" s="2914" t="s">
        <v>15</v>
      </c>
      <c r="E81" s="1043"/>
      <c r="F81" s="2501"/>
      <c r="G81" s="1043"/>
      <c r="H81" s="2501"/>
      <c r="I81" s="2502"/>
      <c r="J81" s="1544"/>
      <c r="K81" s="307"/>
      <c r="L81" s="2743"/>
      <c r="M81" s="307"/>
      <c r="N81" s="2743"/>
      <c r="O81" s="307"/>
      <c r="P81" s="2914"/>
      <c r="Q81" s="3311"/>
      <c r="R81" s="2914"/>
      <c r="S81" s="3311"/>
      <c r="T81" s="2914"/>
      <c r="U81" s="3311"/>
      <c r="V81" s="2914"/>
      <c r="W81" s="3311"/>
      <c r="X81" s="2914"/>
      <c r="Y81" s="3311"/>
      <c r="Z81" s="2914"/>
      <c r="AA81" s="3307"/>
      <c r="AB81" s="3375"/>
      <c r="AC81" s="3376"/>
      <c r="AD81" s="3290"/>
      <c r="AE81" s="3313"/>
      <c r="AF81" s="3376"/>
      <c r="AG81" s="243"/>
      <c r="AH81" s="1138"/>
      <c r="AI81" s="1042"/>
      <c r="AJ81" s="1608"/>
      <c r="AK81" s="2316"/>
    </row>
    <row r="82" spans="1:38" ht="15" customHeight="1">
      <c r="A82" s="340"/>
      <c r="B82" s="1541" t="s">
        <v>1150</v>
      </c>
      <c r="C82" s="1541"/>
      <c r="D82" s="2914">
        <f t="shared" si="11"/>
        <v>0.4</v>
      </c>
      <c r="E82" s="1043"/>
      <c r="F82" s="2501"/>
      <c r="G82" s="1043"/>
      <c r="H82" s="2501"/>
      <c r="I82" s="2502"/>
      <c r="J82" s="1544"/>
      <c r="K82" s="2509"/>
      <c r="L82" s="2743"/>
      <c r="M82" s="2509"/>
      <c r="N82" s="2743"/>
      <c r="O82" s="2509"/>
      <c r="P82" s="2914"/>
      <c r="Q82" s="3314"/>
      <c r="R82" s="2914"/>
      <c r="S82" s="3314"/>
      <c r="T82" s="2914"/>
      <c r="U82" s="3314"/>
      <c r="V82" s="2914"/>
      <c r="W82" s="3314"/>
      <c r="X82" s="2914"/>
      <c r="Y82" s="3314"/>
      <c r="Z82" s="2914"/>
      <c r="AA82" s="3315"/>
      <c r="AB82" s="3318">
        <v>0</v>
      </c>
      <c r="AC82" s="2948">
        <v>0.4</v>
      </c>
      <c r="AD82" s="3369"/>
      <c r="AE82" s="3318">
        <f t="shared" ref="AE82:AE89" si="14">ROUND(SUM(D82:AB82),1)</f>
        <v>0.4</v>
      </c>
      <c r="AF82" s="2948">
        <v>0</v>
      </c>
      <c r="AG82" s="1747"/>
      <c r="AH82" s="2989"/>
      <c r="AI82" s="1042">
        <f t="shared" ref="AI82:AI91" si="15">ROUND(SUM(+AC82-AF82),1)</f>
        <v>0.4</v>
      </c>
      <c r="AJ82" s="1608"/>
      <c r="AK82" s="2324">
        <f t="shared" ref="AK82" si="16">ROUND(IF(AF82=0,1,AI82/ABS(AF82)),3)</f>
        <v>1</v>
      </c>
    </row>
    <row r="83" spans="1:38" ht="15" customHeight="1">
      <c r="A83" s="340"/>
      <c r="B83" s="1541" t="s">
        <v>1151</v>
      </c>
      <c r="C83" s="1541"/>
      <c r="D83" s="2914">
        <f t="shared" si="11"/>
        <v>0</v>
      </c>
      <c r="E83" s="1043"/>
      <c r="F83" s="2501"/>
      <c r="G83" s="1043"/>
      <c r="H83" s="2501"/>
      <c r="I83" s="2502"/>
      <c r="J83" s="1544"/>
      <c r="K83" s="2509"/>
      <c r="L83" s="2743"/>
      <c r="M83" s="2509"/>
      <c r="N83" s="2743"/>
      <c r="O83" s="2509"/>
      <c r="P83" s="2914"/>
      <c r="Q83" s="3314"/>
      <c r="R83" s="2914"/>
      <c r="S83" s="3314"/>
      <c r="T83" s="2914"/>
      <c r="U83" s="3314"/>
      <c r="V83" s="2914"/>
      <c r="W83" s="3314"/>
      <c r="X83" s="2914"/>
      <c r="Y83" s="3314"/>
      <c r="Z83" s="2914"/>
      <c r="AA83" s="3315"/>
      <c r="AB83" s="3377"/>
      <c r="AC83" s="2948">
        <v>0</v>
      </c>
      <c r="AD83" s="3369"/>
      <c r="AE83" s="3318">
        <f t="shared" ref="AE83" si="17">ROUND(SUM(D83:AB83),1)</f>
        <v>0</v>
      </c>
      <c r="AF83" s="2948">
        <v>0</v>
      </c>
      <c r="AG83" s="1747"/>
      <c r="AH83" s="2989"/>
      <c r="AI83" s="2502">
        <f t="shared" ref="AI83" si="18">ROUND(SUM(+AC83-AF83),1)</f>
        <v>0</v>
      </c>
      <c r="AJ83" s="1608"/>
      <c r="AK83" s="2324">
        <f>ROUND(IF(AF83=0,0,AI83/ABS(AF83)),3)</f>
        <v>0</v>
      </c>
    </row>
    <row r="84" spans="1:38" ht="15" customHeight="1">
      <c r="A84" s="340"/>
      <c r="B84" s="1541" t="s">
        <v>1152</v>
      </c>
      <c r="C84" s="1541"/>
      <c r="D84" s="2914">
        <f t="shared" si="11"/>
        <v>0</v>
      </c>
      <c r="E84" s="1043"/>
      <c r="F84" s="2501"/>
      <c r="G84" s="1043"/>
      <c r="H84" s="2501"/>
      <c r="I84" s="2502"/>
      <c r="J84" s="1544"/>
      <c r="K84" s="2509"/>
      <c r="L84" s="2743"/>
      <c r="M84" s="2509"/>
      <c r="N84" s="2743"/>
      <c r="O84" s="2509"/>
      <c r="P84" s="2914"/>
      <c r="Q84" s="3314"/>
      <c r="R84" s="2914"/>
      <c r="S84" s="3314"/>
      <c r="T84" s="2914"/>
      <c r="U84" s="3314"/>
      <c r="V84" s="2914"/>
      <c r="W84" s="3314"/>
      <c r="X84" s="2914"/>
      <c r="Y84" s="3314"/>
      <c r="Z84" s="2914"/>
      <c r="AA84" s="3315"/>
      <c r="AB84" s="3318">
        <v>0</v>
      </c>
      <c r="AC84" s="2948">
        <v>0</v>
      </c>
      <c r="AD84" s="3369"/>
      <c r="AE84" s="3318">
        <f t="shared" si="14"/>
        <v>0</v>
      </c>
      <c r="AF84" s="2948">
        <v>0.1</v>
      </c>
      <c r="AG84" s="1747"/>
      <c r="AH84" s="2989"/>
      <c r="AI84" s="1042">
        <f t="shared" si="15"/>
        <v>-0.1</v>
      </c>
      <c r="AJ84" s="1608"/>
      <c r="AK84" s="2324">
        <f>ROUND(IF(AF84=0,1,AI84/ABS(AF84)),3)</f>
        <v>-1</v>
      </c>
    </row>
    <row r="85" spans="1:38" ht="15" customHeight="1">
      <c r="A85" s="340"/>
      <c r="B85" s="1541" t="s">
        <v>1153</v>
      </c>
      <c r="C85" s="1541"/>
      <c r="D85" s="2914">
        <f t="shared" si="11"/>
        <v>1</v>
      </c>
      <c r="E85" s="1043"/>
      <c r="F85" s="2501"/>
      <c r="G85" s="1043"/>
      <c r="H85" s="2501"/>
      <c r="I85" s="2502"/>
      <c r="J85" s="1544"/>
      <c r="K85" s="2509"/>
      <c r="L85" s="2743"/>
      <c r="M85" s="2509"/>
      <c r="N85" s="2743"/>
      <c r="O85" s="2509"/>
      <c r="P85" s="2914"/>
      <c r="Q85" s="3314"/>
      <c r="R85" s="2914"/>
      <c r="S85" s="3314"/>
      <c r="T85" s="2914"/>
      <c r="U85" s="3314"/>
      <c r="V85" s="2914"/>
      <c r="W85" s="3314"/>
      <c r="X85" s="2914"/>
      <c r="Y85" s="3314"/>
      <c r="Z85" s="2914"/>
      <c r="AA85" s="3315"/>
      <c r="AB85" s="3318">
        <v>0</v>
      </c>
      <c r="AC85" s="2948">
        <v>1</v>
      </c>
      <c r="AD85" s="3369"/>
      <c r="AE85" s="3318">
        <f t="shared" si="14"/>
        <v>1</v>
      </c>
      <c r="AF85" s="2948">
        <v>0.9</v>
      </c>
      <c r="AG85" s="1747"/>
      <c r="AH85" s="2989"/>
      <c r="AI85" s="1042">
        <f t="shared" si="15"/>
        <v>0.1</v>
      </c>
      <c r="AJ85" s="1608"/>
      <c r="AK85" s="2324">
        <f>ROUND(IF(AF85=0,1,AI85/ABS(AF85)),3)</f>
        <v>0.111</v>
      </c>
    </row>
    <row r="86" spans="1:38" ht="15" customHeight="1">
      <c r="A86" s="340"/>
      <c r="B86" s="1541" t="s">
        <v>1154</v>
      </c>
      <c r="C86" s="1541"/>
      <c r="D86" s="2914">
        <f>$AC86</f>
        <v>-17.399999999999999</v>
      </c>
      <c r="E86" s="1043"/>
      <c r="F86" s="2501"/>
      <c r="G86" s="1043"/>
      <c r="H86" s="2501"/>
      <c r="I86" s="2502"/>
      <c r="J86" s="1544"/>
      <c r="K86" s="2509"/>
      <c r="L86" s="2743"/>
      <c r="M86" s="2509"/>
      <c r="N86" s="2743"/>
      <c r="O86" s="2509"/>
      <c r="P86" s="2914"/>
      <c r="Q86" s="3314"/>
      <c r="R86" s="2914"/>
      <c r="S86" s="3314"/>
      <c r="T86" s="2914"/>
      <c r="U86" s="3314"/>
      <c r="V86" s="2914"/>
      <c r="W86" s="3314"/>
      <c r="X86" s="2914"/>
      <c r="Y86" s="3314"/>
      <c r="Z86" s="2914"/>
      <c r="AA86" s="3315"/>
      <c r="AB86" s="3377"/>
      <c r="AC86" s="2948">
        <v>-17.399999999999999</v>
      </c>
      <c r="AD86" s="3369"/>
      <c r="AE86" s="3377">
        <f>ROUND(SUM(D86:AB86),1)</f>
        <v>-17.399999999999999</v>
      </c>
      <c r="AF86" s="2948">
        <v>0</v>
      </c>
      <c r="AG86" s="1747"/>
      <c r="AH86" s="2989"/>
      <c r="AI86" s="2502">
        <f>ROUND(SUM(+AC86-AF86),1)</f>
        <v>-17.399999999999999</v>
      </c>
      <c r="AJ86" s="1608"/>
      <c r="AK86" s="2372">
        <f>-ROUND(IF(AF86=0,1,AI86/ABS(AF86)),3)</f>
        <v>-1</v>
      </c>
    </row>
    <row r="87" spans="1:38" ht="15" customHeight="1">
      <c r="A87" s="340"/>
      <c r="B87" s="1541" t="s">
        <v>1155</v>
      </c>
      <c r="C87" s="1541"/>
      <c r="D87" s="2914">
        <f t="shared" si="11"/>
        <v>-0.6</v>
      </c>
      <c r="E87" s="1043"/>
      <c r="F87" s="2501"/>
      <c r="G87" s="1043"/>
      <c r="H87" s="2501"/>
      <c r="I87" s="2502"/>
      <c r="J87" s="1544"/>
      <c r="K87" s="2509"/>
      <c r="L87" s="2743"/>
      <c r="M87" s="2509"/>
      <c r="N87" s="2743"/>
      <c r="O87" s="2509"/>
      <c r="P87" s="2914"/>
      <c r="Q87" s="3314"/>
      <c r="R87" s="2914"/>
      <c r="S87" s="3314"/>
      <c r="T87" s="2914"/>
      <c r="U87" s="3314"/>
      <c r="V87" s="2914"/>
      <c r="W87" s="3314"/>
      <c r="X87" s="2914"/>
      <c r="Y87" s="3314"/>
      <c r="Z87" s="2914"/>
      <c r="AA87" s="3315"/>
      <c r="AB87" s="3318">
        <v>0</v>
      </c>
      <c r="AC87" s="2948">
        <v>-0.6</v>
      </c>
      <c r="AD87" s="3369"/>
      <c r="AE87" s="3318">
        <f t="shared" si="14"/>
        <v>-0.6</v>
      </c>
      <c r="AF87" s="2948">
        <v>-0.9</v>
      </c>
      <c r="AG87" s="1747"/>
      <c r="AH87" s="2989"/>
      <c r="AI87" s="1042">
        <f t="shared" si="15"/>
        <v>0.3</v>
      </c>
      <c r="AJ87" s="1608"/>
      <c r="AK87" s="2324">
        <f>ROUND(IF(AF87=0,1,AI87/ABS(AF87)),3)</f>
        <v>0.33300000000000002</v>
      </c>
    </row>
    <row r="88" spans="1:38" ht="15" customHeight="1">
      <c r="A88" s="340"/>
      <c r="B88" s="1541" t="s">
        <v>1156</v>
      </c>
      <c r="C88" s="1541"/>
      <c r="D88" s="2914">
        <f t="shared" si="11"/>
        <v>104.7</v>
      </c>
      <c r="E88" s="1043"/>
      <c r="F88" s="2501"/>
      <c r="G88" s="1043"/>
      <c r="H88" s="2501"/>
      <c r="I88" s="2502"/>
      <c r="J88" s="1544"/>
      <c r="K88" s="2509"/>
      <c r="L88" s="2743"/>
      <c r="M88" s="2509"/>
      <c r="N88" s="2743"/>
      <c r="O88" s="2509"/>
      <c r="P88" s="2914"/>
      <c r="Q88" s="3314"/>
      <c r="R88" s="2914"/>
      <c r="S88" s="3314"/>
      <c r="T88" s="2914"/>
      <c r="U88" s="3314"/>
      <c r="V88" s="2914"/>
      <c r="W88" s="3314"/>
      <c r="X88" s="2914"/>
      <c r="Y88" s="3314"/>
      <c r="Z88" s="2914"/>
      <c r="AA88" s="3315"/>
      <c r="AB88" s="3318">
        <v>0</v>
      </c>
      <c r="AC88" s="2948">
        <v>104.7</v>
      </c>
      <c r="AD88" s="3369"/>
      <c r="AE88" s="3318">
        <f t="shared" si="14"/>
        <v>104.7</v>
      </c>
      <c r="AF88" s="2948">
        <v>0.1</v>
      </c>
      <c r="AG88" s="1747"/>
      <c r="AH88" s="2989"/>
      <c r="AI88" s="1042">
        <f t="shared" si="15"/>
        <v>104.6</v>
      </c>
      <c r="AJ88" s="1608"/>
      <c r="AK88" s="2372">
        <f>ROUND(IF(AF88=0,1,AI88/ABS(AF88)),3)</f>
        <v>1046</v>
      </c>
    </row>
    <row r="89" spans="1:38" ht="15" customHeight="1">
      <c r="A89" s="340"/>
      <c r="B89" s="1541" t="s">
        <v>1157</v>
      </c>
      <c r="C89" s="1541"/>
      <c r="D89" s="2914">
        <f t="shared" si="11"/>
        <v>0</v>
      </c>
      <c r="E89" s="1043"/>
      <c r="F89" s="2501"/>
      <c r="G89" s="1043"/>
      <c r="H89" s="2501"/>
      <c r="I89" s="2502"/>
      <c r="J89" s="1544"/>
      <c r="K89" s="2509"/>
      <c r="L89" s="2743"/>
      <c r="M89" s="2509"/>
      <c r="N89" s="2743"/>
      <c r="O89" s="2509"/>
      <c r="P89" s="2914"/>
      <c r="Q89" s="3314"/>
      <c r="R89" s="2914"/>
      <c r="S89" s="3314"/>
      <c r="T89" s="2914"/>
      <c r="U89" s="3314"/>
      <c r="V89" s="2914"/>
      <c r="W89" s="3314"/>
      <c r="X89" s="2914"/>
      <c r="Y89" s="3314"/>
      <c r="Z89" s="2914"/>
      <c r="AA89" s="3315"/>
      <c r="AB89" s="3318">
        <v>0</v>
      </c>
      <c r="AC89" s="2948">
        <v>0</v>
      </c>
      <c r="AD89" s="3369"/>
      <c r="AE89" s="3318">
        <f t="shared" si="14"/>
        <v>0</v>
      </c>
      <c r="AF89" s="2948">
        <v>0</v>
      </c>
      <c r="AG89" s="1747"/>
      <c r="AH89" s="2989"/>
      <c r="AI89" s="1042">
        <f t="shared" si="15"/>
        <v>0</v>
      </c>
      <c r="AJ89" s="1608"/>
      <c r="AK89" s="2324">
        <f>ROUND(IF(AF89=0,0,AI89/ABS(AF89)),3)</f>
        <v>0</v>
      </c>
    </row>
    <row r="90" spans="1:38" ht="15" customHeight="1">
      <c r="A90" s="340"/>
      <c r="B90" s="1541" t="s">
        <v>1158</v>
      </c>
      <c r="C90" s="1541"/>
      <c r="D90" s="2914">
        <f t="shared" si="11"/>
        <v>2.5</v>
      </c>
      <c r="E90" s="1043"/>
      <c r="F90" s="2501"/>
      <c r="G90" s="1043"/>
      <c r="H90" s="2501"/>
      <c r="I90" s="2502"/>
      <c r="J90" s="1544"/>
      <c r="K90" s="2509"/>
      <c r="L90" s="2743"/>
      <c r="M90" s="2509"/>
      <c r="N90" s="2743"/>
      <c r="O90" s="2509"/>
      <c r="P90" s="2914"/>
      <c r="Q90" s="3314"/>
      <c r="R90" s="2914"/>
      <c r="S90" s="3314"/>
      <c r="T90" s="2914"/>
      <c r="U90" s="3314"/>
      <c r="V90" s="2914"/>
      <c r="W90" s="3314"/>
      <c r="X90" s="2914"/>
      <c r="Y90" s="3314"/>
      <c r="Z90" s="2914"/>
      <c r="AA90" s="3315"/>
      <c r="AB90" s="3318">
        <v>0</v>
      </c>
      <c r="AC90" s="2914">
        <v>2.5</v>
      </c>
      <c r="AD90" s="3369"/>
      <c r="AE90" s="3318">
        <f>ROUND(SUM(D90:AB90),1)</f>
        <v>2.5</v>
      </c>
      <c r="AF90" s="2914">
        <v>1.9</v>
      </c>
      <c r="AG90" s="1740"/>
      <c r="AH90" s="2989"/>
      <c r="AI90" s="1042">
        <f t="shared" si="15"/>
        <v>0.6</v>
      </c>
      <c r="AJ90" s="1608"/>
      <c r="AK90" s="2372">
        <f>ROUND(IF(AF90=0,0,AI90/ABS(AF90)),3)</f>
        <v>0.316</v>
      </c>
    </row>
    <row r="91" spans="1:38" ht="15" customHeight="1">
      <c r="A91" s="340"/>
      <c r="B91" s="1541" t="s">
        <v>1159</v>
      </c>
      <c r="C91" s="1541"/>
      <c r="D91" s="2914">
        <f t="shared" si="11"/>
        <v>0</v>
      </c>
      <c r="E91" s="1043"/>
      <c r="F91" s="2501"/>
      <c r="G91" s="1043"/>
      <c r="H91" s="2501"/>
      <c r="I91" s="2502"/>
      <c r="J91" s="1544"/>
      <c r="K91" s="2509"/>
      <c r="L91" s="2743"/>
      <c r="M91" s="2509"/>
      <c r="N91" s="2743"/>
      <c r="O91" s="2509"/>
      <c r="P91" s="2914"/>
      <c r="Q91" s="3314"/>
      <c r="R91" s="2914"/>
      <c r="S91" s="3314"/>
      <c r="T91" s="2914"/>
      <c r="U91" s="3314"/>
      <c r="V91" s="2914"/>
      <c r="W91" s="3314"/>
      <c r="X91" s="2914"/>
      <c r="Y91" s="3314"/>
      <c r="Z91" s="2914"/>
      <c r="AA91" s="3315"/>
      <c r="AB91" s="3318">
        <v>0</v>
      </c>
      <c r="AC91" s="2948">
        <v>0</v>
      </c>
      <c r="AD91" s="3369"/>
      <c r="AE91" s="3318">
        <f>ROUND(SUM(D91:AB91),1)</f>
        <v>0</v>
      </c>
      <c r="AF91" s="2948">
        <v>0</v>
      </c>
      <c r="AG91" s="1740"/>
      <c r="AH91" s="2989"/>
      <c r="AI91" s="1042">
        <f t="shared" si="15"/>
        <v>0</v>
      </c>
      <c r="AJ91" s="1608"/>
      <c r="AK91" s="3704">
        <f>ROUND(IF(AF91=0,1,AI91/ABS(AF91)),3)</f>
        <v>1</v>
      </c>
    </row>
    <row r="92" spans="1:38" s="408" customFormat="1" ht="15" customHeight="1">
      <c r="A92" s="1789"/>
      <c r="B92" s="555" t="s">
        <v>1195</v>
      </c>
      <c r="C92" s="399"/>
      <c r="D92" s="3046">
        <f>ROUND(SUM(D58:D91),1)</f>
        <v>220.3</v>
      </c>
      <c r="E92" s="1790"/>
      <c r="F92" s="3045">
        <f>ROUND(SUM(F58:F91),1)</f>
        <v>0</v>
      </c>
      <c r="G92" s="1790"/>
      <c r="H92" s="3045">
        <f>ROUND(SUM(H58:H91),1)</f>
        <v>0</v>
      </c>
      <c r="I92" s="1587"/>
      <c r="J92" s="3046">
        <f>ROUND(SUM(J58:J91),1)</f>
        <v>0</v>
      </c>
      <c r="K92" s="1587"/>
      <c r="L92" s="463">
        <f>ROUND(SUM(L58:L91),1)</f>
        <v>0</v>
      </c>
      <c r="M92" s="1587"/>
      <c r="N92" s="463">
        <f>ROUND(SUM(N58:N91),1)</f>
        <v>0</v>
      </c>
      <c r="O92" s="1587"/>
      <c r="P92" s="3370">
        <f>ROUND(SUM(P58:P91),1)</f>
        <v>0</v>
      </c>
      <c r="Q92" s="2348"/>
      <c r="R92" s="3370">
        <f>ROUND(SUM(R58:R91),1)</f>
        <v>0</v>
      </c>
      <c r="S92" s="2348"/>
      <c r="T92" s="3370">
        <f>ROUND(SUM(T58:T91),1)</f>
        <v>0</v>
      </c>
      <c r="U92" s="2348"/>
      <c r="V92" s="3370">
        <f>ROUND(SUM(V58:V91),1)</f>
        <v>0</v>
      </c>
      <c r="W92" s="2348"/>
      <c r="X92" s="3370">
        <f>ROUND(SUM(X58:X91),1)</f>
        <v>0</v>
      </c>
      <c r="Y92" s="2348"/>
      <c r="Z92" s="3370">
        <f>ROUND(SUM(Z58:Z91),1)</f>
        <v>0</v>
      </c>
      <c r="AA92" s="3326"/>
      <c r="AB92" s="3378"/>
      <c r="AC92" s="3526">
        <f>ROUND(SUM(AC58:AC91),1)</f>
        <v>220.3</v>
      </c>
      <c r="AD92" s="2348"/>
      <c r="AE92" s="3328"/>
      <c r="AF92" s="3379">
        <f>ROUND(SUM(AF58:AF91),1)</f>
        <v>94.1</v>
      </c>
      <c r="AG92" s="1587"/>
      <c r="AH92" s="1140"/>
      <c r="AI92" s="463">
        <f>ROUND(SUM(AI58:AI91),1)</f>
        <v>126.2</v>
      </c>
      <c r="AJ92" s="264"/>
      <c r="AK92" s="2331">
        <f>ROUND(SUM(+AI92/AF92),3)</f>
        <v>1.341</v>
      </c>
      <c r="AL92" s="398"/>
    </row>
    <row r="93" spans="1:38" s="408" customFormat="1" ht="8.25" customHeight="1">
      <c r="A93" s="1789"/>
      <c r="B93" s="216"/>
      <c r="C93" s="399"/>
      <c r="D93" s="1587"/>
      <c r="E93" s="1790"/>
      <c r="F93" s="1587"/>
      <c r="G93" s="1790"/>
      <c r="H93" s="1587"/>
      <c r="I93" s="1587"/>
      <c r="J93" s="301"/>
      <c r="K93" s="1587"/>
      <c r="L93" s="1587"/>
      <c r="M93" s="1587"/>
      <c r="N93" s="1587"/>
      <c r="O93" s="1587"/>
      <c r="P93" s="2348"/>
      <c r="Q93" s="2348"/>
      <c r="R93" s="2348"/>
      <c r="S93" s="2348"/>
      <c r="T93" s="2348"/>
      <c r="U93" s="2348"/>
      <c r="V93" s="2348"/>
      <c r="W93" s="2348"/>
      <c r="X93" s="2348"/>
      <c r="Y93" s="2348"/>
      <c r="Z93" s="2348"/>
      <c r="AA93" s="3326"/>
      <c r="AB93" s="3378"/>
      <c r="AC93" s="3380"/>
      <c r="AD93" s="2348"/>
      <c r="AE93" s="3328"/>
      <c r="AF93" s="3380"/>
      <c r="AG93" s="1587"/>
      <c r="AH93" s="1140"/>
      <c r="AI93" s="1587"/>
      <c r="AJ93" s="264"/>
      <c r="AK93" s="3705"/>
      <c r="AL93" s="398"/>
    </row>
    <row r="94" spans="1:38" ht="15" customHeight="1">
      <c r="A94" s="340"/>
      <c r="B94" s="1212" t="s">
        <v>1363</v>
      </c>
      <c r="C94" s="217"/>
      <c r="D94" s="2914">
        <f>$AC94</f>
        <v>0</v>
      </c>
      <c r="E94" s="2502"/>
      <c r="F94" s="2501"/>
      <c r="G94" s="2502"/>
      <c r="H94" s="2501"/>
      <c r="I94" s="2502"/>
      <c r="J94" s="1544"/>
      <c r="K94" s="2509"/>
      <c r="L94" s="2743"/>
      <c r="M94" s="2509"/>
      <c r="N94" s="2743"/>
      <c r="O94" s="2509"/>
      <c r="P94" s="3288"/>
      <c r="Q94" s="3314"/>
      <c r="R94" s="2914"/>
      <c r="S94" s="3314"/>
      <c r="T94" s="2914"/>
      <c r="U94" s="3314"/>
      <c r="V94" s="2914"/>
      <c r="W94" s="3314"/>
      <c r="X94" s="2914"/>
      <c r="Y94" s="3314"/>
      <c r="Z94" s="2914"/>
      <c r="AA94" s="3315"/>
      <c r="AB94" s="3318">
        <v>0</v>
      </c>
      <c r="AC94" s="2948">
        <v>0</v>
      </c>
      <c r="AD94" s="3369"/>
      <c r="AE94" s="3318">
        <f>ROUND(SUM(D94:AB94),1)</f>
        <v>0</v>
      </c>
      <c r="AF94" s="2948">
        <v>0</v>
      </c>
      <c r="AG94" s="243"/>
      <c r="AH94" s="1138"/>
      <c r="AI94" s="2281">
        <f>ROUND(SUM(+AC94-AF94),1)</f>
        <v>0</v>
      </c>
      <c r="AJ94" s="1608"/>
      <c r="AK94" s="3706">
        <f>ROUND(IF(AF94=0,0,AI94/ABS(AF94)),3)</f>
        <v>0</v>
      </c>
    </row>
    <row r="95" spans="1:38" ht="3.95" customHeight="1">
      <c r="A95" s="340"/>
      <c r="B95" s="218"/>
      <c r="C95" s="217"/>
      <c r="D95" s="1210"/>
      <c r="E95" s="2502"/>
      <c r="F95" s="1210"/>
      <c r="G95" s="2502"/>
      <c r="H95" s="1210"/>
      <c r="I95" s="2502"/>
      <c r="J95" s="1758"/>
      <c r="K95" s="254"/>
      <c r="L95" s="277"/>
      <c r="M95" s="254"/>
      <c r="N95" s="277"/>
      <c r="O95" s="254"/>
      <c r="P95" s="3322"/>
      <c r="Q95" s="3322"/>
      <c r="R95" s="3321"/>
      <c r="S95" s="3322"/>
      <c r="T95" s="3321"/>
      <c r="U95" s="3322"/>
      <c r="V95" s="3321"/>
      <c r="W95" s="3322"/>
      <c r="X95" s="3321"/>
      <c r="Y95" s="3322"/>
      <c r="Z95" s="3321"/>
      <c r="AA95" s="3340"/>
      <c r="AB95" s="3374"/>
      <c r="AC95" s="3528"/>
      <c r="AD95" s="3322"/>
      <c r="AE95" s="3325"/>
      <c r="AF95" s="3381"/>
      <c r="AG95" s="243"/>
      <c r="AH95" s="1138"/>
      <c r="AI95" s="1042"/>
      <c r="AJ95" s="1608"/>
      <c r="AK95" s="2316"/>
    </row>
    <row r="96" spans="1:38" ht="15" customHeight="1">
      <c r="A96" s="340"/>
      <c r="B96" s="216" t="s">
        <v>152</v>
      </c>
      <c r="C96" s="217"/>
      <c r="D96" s="1461">
        <f>ROUND(SUM(D94+D92+D54),1)</f>
        <v>4089.3</v>
      </c>
      <c r="E96" s="1587"/>
      <c r="F96" s="1461">
        <f>ROUND(SUM(F94+F92+F54),1)</f>
        <v>0</v>
      </c>
      <c r="G96" s="1587"/>
      <c r="H96" s="1461">
        <f>ROUND(SUM(H94+H92+H54),1)</f>
        <v>0</v>
      </c>
      <c r="I96" s="1587"/>
      <c r="J96" s="1856">
        <f>ROUND(SUM(J94+J92+J54),1)</f>
        <v>0</v>
      </c>
      <c r="K96" s="250"/>
      <c r="L96" s="1587">
        <f>ROUND(SUM(L94+L92+L54),1)</f>
        <v>0</v>
      </c>
      <c r="M96" s="250"/>
      <c r="N96" s="1587">
        <f>ROUND(SUM(N94+N92+N54),1)</f>
        <v>0</v>
      </c>
      <c r="O96" s="1587"/>
      <c r="P96" s="3382">
        <f>ROUND(SUM(P94+P92+P54),1)</f>
        <v>0</v>
      </c>
      <c r="Q96" s="2348"/>
      <c r="R96" s="3382">
        <f>ROUND(SUM(R94+R92+R54),1)</f>
        <v>0</v>
      </c>
      <c r="S96" s="2348"/>
      <c r="T96" s="3382">
        <f>ROUND(SUM(T94+T92+T54),1)</f>
        <v>0</v>
      </c>
      <c r="U96" s="2348"/>
      <c r="V96" s="3382">
        <f>ROUND(SUM(V94+V92+V54),1)</f>
        <v>0</v>
      </c>
      <c r="W96" s="2348"/>
      <c r="X96" s="3382">
        <f>ROUND(SUM(X94+X92+X54),1)</f>
        <v>0</v>
      </c>
      <c r="Y96" s="2348"/>
      <c r="Z96" s="3382">
        <f>ROUND(SUM(Z94+Z92+Z54),1)</f>
        <v>0</v>
      </c>
      <c r="AA96" s="3383"/>
      <c r="AB96" s="3378"/>
      <c r="AC96" s="3384">
        <f>ROUND(SUM(AC94+AC92+AC54),1)</f>
        <v>4089.3</v>
      </c>
      <c r="AD96" s="2348"/>
      <c r="AE96" s="3328"/>
      <c r="AF96" s="3384">
        <f>ROUND(SUM(AF94+AF92+AF54),1)</f>
        <v>4879.6000000000004</v>
      </c>
      <c r="AG96" s="264"/>
      <c r="AH96" s="1140"/>
      <c r="AI96" s="262">
        <f>ROUND(SUM(AI94+AI92+AI54),1)</f>
        <v>-790.3</v>
      </c>
      <c r="AJ96" s="264"/>
      <c r="AK96" s="2320">
        <f>ROUND(SUM(+AI96/AF96),3)</f>
        <v>-0.16200000000000001</v>
      </c>
    </row>
    <row r="97" spans="1:37" ht="15" customHeight="1">
      <c r="A97" s="340"/>
      <c r="B97" s="218"/>
      <c r="C97" s="217"/>
      <c r="D97" s="1608"/>
      <c r="E97" s="2502"/>
      <c r="F97" s="1608"/>
      <c r="G97" s="2502"/>
      <c r="H97" s="1608"/>
      <c r="I97" s="2502"/>
      <c r="J97" s="1740"/>
      <c r="K97" s="254"/>
      <c r="L97" s="277"/>
      <c r="M97" s="254"/>
      <c r="N97" s="277"/>
      <c r="O97" s="254"/>
      <c r="P97" s="3323"/>
      <c r="Q97" s="3322"/>
      <c r="R97" s="3323"/>
      <c r="S97" s="3322"/>
      <c r="T97" s="3323"/>
      <c r="U97" s="3322"/>
      <c r="V97" s="3323"/>
      <c r="W97" s="3322"/>
      <c r="X97" s="3323"/>
      <c r="Y97" s="3322"/>
      <c r="Z97" s="3323"/>
      <c r="AA97" s="3329"/>
      <c r="AB97" s="3374"/>
      <c r="AC97" s="3369"/>
      <c r="AD97" s="3322"/>
      <c r="AE97" s="3325"/>
      <c r="AF97" s="3290"/>
      <c r="AG97" s="243"/>
      <c r="AH97" s="1138"/>
      <c r="AI97" s="1042"/>
      <c r="AJ97" s="1608"/>
      <c r="AK97" s="2316"/>
    </row>
    <row r="98" spans="1:37" ht="15" customHeight="1">
      <c r="A98" s="340"/>
      <c r="B98" s="216" t="s">
        <v>23</v>
      </c>
      <c r="C98" s="217"/>
      <c r="D98" s="2502"/>
      <c r="E98" s="2502"/>
      <c r="F98" s="2502"/>
      <c r="G98" s="2502"/>
      <c r="H98" s="2502"/>
      <c r="I98" s="2502"/>
      <c r="J98" s="1544"/>
      <c r="K98" s="254"/>
      <c r="L98" s="254"/>
      <c r="M98" s="254"/>
      <c r="N98" s="254"/>
      <c r="O98" s="254"/>
      <c r="P98" s="3322"/>
      <c r="Q98" s="3322"/>
      <c r="R98" s="3322"/>
      <c r="S98" s="3322"/>
      <c r="T98" s="3322"/>
      <c r="U98" s="3322"/>
      <c r="V98" s="3322"/>
      <c r="W98" s="3322"/>
      <c r="X98" s="3322"/>
      <c r="Y98" s="3322"/>
      <c r="Z98" s="3322"/>
      <c r="AA98" s="2350"/>
      <c r="AB98" s="3374"/>
      <c r="AC98" s="3316"/>
      <c r="AD98" s="3322"/>
      <c r="AE98" s="3325"/>
      <c r="AF98" s="3311"/>
      <c r="AG98" s="254"/>
      <c r="AH98" s="1138"/>
      <c r="AI98" s="1042"/>
      <c r="AJ98" s="1608"/>
      <c r="AK98" s="2316"/>
    </row>
    <row r="99" spans="1:37" ht="15" customHeight="1">
      <c r="A99" s="340"/>
      <c r="B99" s="218" t="s">
        <v>153</v>
      </c>
      <c r="C99" s="217"/>
      <c r="D99" s="1608"/>
      <c r="E99" s="1608"/>
      <c r="F99" s="1608"/>
      <c r="G99" s="1608"/>
      <c r="H99" s="1608"/>
      <c r="I99" s="1608"/>
      <c r="J99" s="1740"/>
      <c r="K99" s="243"/>
      <c r="L99" s="243"/>
      <c r="M99" s="243"/>
      <c r="N99" s="243"/>
      <c r="O99" s="243"/>
      <c r="P99" s="3323"/>
      <c r="Q99" s="3323"/>
      <c r="R99" s="3323"/>
      <c r="S99" s="3323"/>
      <c r="T99" s="3323"/>
      <c r="U99" s="3323"/>
      <c r="V99" s="3323"/>
      <c r="W99" s="3323"/>
      <c r="X99" s="3323"/>
      <c r="Y99" s="3323"/>
      <c r="Z99" s="3323"/>
      <c r="AA99" s="2350"/>
      <c r="AB99" s="3374"/>
      <c r="AC99" s="3529"/>
      <c r="AD99" s="3322"/>
      <c r="AE99" s="3325"/>
      <c r="AF99" s="3385"/>
      <c r="AG99" s="1142"/>
      <c r="AH99" s="1138"/>
      <c r="AI99" s="1042"/>
      <c r="AJ99" s="1608"/>
      <c r="AK99" s="2316"/>
    </row>
    <row r="100" spans="1:37" ht="15" customHeight="1">
      <c r="A100" s="340"/>
      <c r="B100" s="369" t="s">
        <v>25</v>
      </c>
      <c r="C100" s="217"/>
      <c r="D100" s="2914">
        <f>$AC100</f>
        <v>1179.9000000000001</v>
      </c>
      <c r="E100" s="1608"/>
      <c r="F100" s="2501"/>
      <c r="G100" s="1608"/>
      <c r="H100" s="2501"/>
      <c r="I100" s="1608"/>
      <c r="J100" s="1544"/>
      <c r="K100" s="2509"/>
      <c r="L100" s="2743"/>
      <c r="M100" s="2509"/>
      <c r="N100" s="2743"/>
      <c r="O100" s="2509"/>
      <c r="P100" s="2914"/>
      <c r="Q100" s="3314"/>
      <c r="R100" s="2914"/>
      <c r="S100" s="3314"/>
      <c r="T100" s="2914"/>
      <c r="U100" s="3314"/>
      <c r="V100" s="2914"/>
      <c r="W100" s="3314"/>
      <c r="X100" s="2914"/>
      <c r="Y100" s="3314"/>
      <c r="Z100" s="2914"/>
      <c r="AA100" s="3315"/>
      <c r="AB100" s="3318">
        <v>0</v>
      </c>
      <c r="AC100" s="2948">
        <v>1179.9000000000001</v>
      </c>
      <c r="AD100" s="3369"/>
      <c r="AE100" s="3318">
        <f t="shared" ref="AE100:AE109" si="19">ROUND(SUM(D100:AB100),1)</f>
        <v>1179.9000000000001</v>
      </c>
      <c r="AF100" s="2948">
        <v>984.1</v>
      </c>
      <c r="AG100" s="1142"/>
      <c r="AH100" s="1138"/>
      <c r="AI100" s="1042">
        <f>ROUND(SUM(+AC100-AF100),1)</f>
        <v>195.8</v>
      </c>
      <c r="AJ100" s="1608"/>
      <c r="AK100" s="2324">
        <f>ROUND(IF(AF100=0,0,AI100/ABS(AF100)),3)</f>
        <v>0.19900000000000001</v>
      </c>
    </row>
    <row r="101" spans="1:37" ht="15" customHeight="1">
      <c r="A101" s="340"/>
      <c r="B101" s="369" t="s">
        <v>26</v>
      </c>
      <c r="C101" s="217"/>
      <c r="D101" s="2914">
        <f t="shared" ref="D101:D109" si="20">$AC101</f>
        <v>0.4</v>
      </c>
      <c r="E101" s="2502"/>
      <c r="F101" s="2501"/>
      <c r="G101" s="2502"/>
      <c r="H101" s="2501"/>
      <c r="I101" s="2502"/>
      <c r="J101" s="1544"/>
      <c r="K101" s="2509"/>
      <c r="L101" s="2743"/>
      <c r="M101" s="2509"/>
      <c r="N101" s="2743"/>
      <c r="O101" s="2509"/>
      <c r="P101" s="2914"/>
      <c r="Q101" s="3314"/>
      <c r="R101" s="2914"/>
      <c r="S101" s="3314"/>
      <c r="T101" s="2914"/>
      <c r="U101" s="3314"/>
      <c r="V101" s="2914"/>
      <c r="W101" s="3314"/>
      <c r="X101" s="2914"/>
      <c r="Y101" s="3314"/>
      <c r="Z101" s="2914"/>
      <c r="AA101" s="3315"/>
      <c r="AB101" s="3318">
        <v>0</v>
      </c>
      <c r="AC101" s="2948">
        <v>0.4</v>
      </c>
      <c r="AD101" s="3369"/>
      <c r="AE101" s="3318">
        <f t="shared" si="19"/>
        <v>0.4</v>
      </c>
      <c r="AF101" s="2948">
        <v>0</v>
      </c>
      <c r="AG101" s="254"/>
      <c r="AH101" s="1138"/>
      <c r="AI101" s="1042">
        <f t="shared" ref="AI101:AI109" si="21">ROUND(SUM(+AC101-AF101),1)</f>
        <v>0.4</v>
      </c>
      <c r="AJ101" s="1608"/>
      <c r="AK101" s="2324">
        <f>ROUND(IF(AF101=0,1,AI101/ABS(AF101)),3)</f>
        <v>1</v>
      </c>
    </row>
    <row r="102" spans="1:37" ht="15" customHeight="1">
      <c r="A102" s="340"/>
      <c r="B102" s="369" t="s">
        <v>27</v>
      </c>
      <c r="C102" s="217"/>
      <c r="D102" s="2914">
        <f t="shared" si="20"/>
        <v>1.4</v>
      </c>
      <c r="E102" s="2502"/>
      <c r="F102" s="2501"/>
      <c r="G102" s="2502"/>
      <c r="H102" s="2501"/>
      <c r="I102" s="2502"/>
      <c r="J102" s="1544"/>
      <c r="K102" s="2509"/>
      <c r="L102" s="2743"/>
      <c r="M102" s="2509"/>
      <c r="N102" s="2743"/>
      <c r="O102" s="2509"/>
      <c r="P102" s="2914"/>
      <c r="Q102" s="3314"/>
      <c r="R102" s="2914"/>
      <c r="S102" s="3314"/>
      <c r="T102" s="2914"/>
      <c r="U102" s="3314"/>
      <c r="V102" s="2914"/>
      <c r="W102" s="3314"/>
      <c r="X102" s="2914"/>
      <c r="Y102" s="3314"/>
      <c r="Z102" s="2914"/>
      <c r="AA102" s="3315"/>
      <c r="AB102" s="3318">
        <v>0</v>
      </c>
      <c r="AC102" s="2948">
        <v>1.4</v>
      </c>
      <c r="AD102" s="3369"/>
      <c r="AE102" s="3318">
        <f t="shared" si="19"/>
        <v>1.4</v>
      </c>
      <c r="AF102" s="2948">
        <v>1.4</v>
      </c>
      <c r="AG102" s="254"/>
      <c r="AH102" s="1138"/>
      <c r="AI102" s="1042">
        <f t="shared" si="21"/>
        <v>0</v>
      </c>
      <c r="AJ102" s="1608"/>
      <c r="AK102" s="2324">
        <f>ROUND(IF(AF102=0,0,AI102/ABS(AF102)),3)</f>
        <v>0</v>
      </c>
    </row>
    <row r="103" spans="1:37" ht="15" customHeight="1">
      <c r="A103" s="340"/>
      <c r="B103" s="369" t="s">
        <v>28</v>
      </c>
      <c r="C103" s="217"/>
      <c r="D103" s="2914" t="s">
        <v>15</v>
      </c>
      <c r="E103" s="2502"/>
      <c r="F103" s="2501"/>
      <c r="G103" s="2502"/>
      <c r="H103" s="2501"/>
      <c r="I103" s="2502"/>
      <c r="J103" s="1544"/>
      <c r="K103" s="2509"/>
      <c r="L103" s="2743"/>
      <c r="M103" s="2509"/>
      <c r="N103" s="2743"/>
      <c r="O103" s="2509"/>
      <c r="P103" s="2914"/>
      <c r="Q103" s="3314"/>
      <c r="R103" s="2914"/>
      <c r="S103" s="3314"/>
      <c r="T103" s="2914"/>
      <c r="U103" s="3314"/>
      <c r="V103" s="2914"/>
      <c r="W103" s="3314"/>
      <c r="X103" s="2914"/>
      <c r="Y103" s="3314"/>
      <c r="Z103" s="2914"/>
      <c r="AA103" s="3315"/>
      <c r="AB103" s="3318"/>
      <c r="AC103" s="2948"/>
      <c r="AD103" s="3369"/>
      <c r="AE103" s="3318"/>
      <c r="AF103" s="2948"/>
      <c r="AG103" s="254"/>
      <c r="AH103" s="1138"/>
      <c r="AI103" s="1042" t="s">
        <v>15</v>
      </c>
      <c r="AJ103" s="1608"/>
      <c r="AK103" s="2316" t="s">
        <v>15</v>
      </c>
    </row>
    <row r="104" spans="1:37" ht="15" customHeight="1">
      <c r="A104" s="340"/>
      <c r="B104" s="1444" t="s">
        <v>29</v>
      </c>
      <c r="C104" s="217"/>
      <c r="D104" s="2914">
        <f t="shared" si="20"/>
        <v>1515.6</v>
      </c>
      <c r="E104" s="2502" t="s">
        <v>15</v>
      </c>
      <c r="F104" s="2501"/>
      <c r="G104" s="2502"/>
      <c r="H104" s="2501"/>
      <c r="I104" s="2502"/>
      <c r="J104" s="1544"/>
      <c r="K104" s="2509"/>
      <c r="L104" s="2743"/>
      <c r="M104" s="2509"/>
      <c r="N104" s="2743"/>
      <c r="O104" s="2509"/>
      <c r="P104" s="2914"/>
      <c r="Q104" s="3314"/>
      <c r="R104" s="2914"/>
      <c r="S104" s="3314"/>
      <c r="T104" s="2914"/>
      <c r="U104" s="3314"/>
      <c r="V104" s="2914"/>
      <c r="W104" s="3314"/>
      <c r="X104" s="2914"/>
      <c r="Y104" s="3314"/>
      <c r="Z104" s="2914"/>
      <c r="AA104" s="3315"/>
      <c r="AB104" s="3318">
        <v>0</v>
      </c>
      <c r="AC104" s="2948">
        <v>1515.6</v>
      </c>
      <c r="AD104" s="3369"/>
      <c r="AE104" s="3318">
        <f t="shared" si="19"/>
        <v>1515.6</v>
      </c>
      <c r="AF104" s="2948">
        <v>1366.9</v>
      </c>
      <c r="AG104" s="254"/>
      <c r="AH104" s="1138"/>
      <c r="AI104" s="1042">
        <f t="shared" si="21"/>
        <v>148.69999999999999</v>
      </c>
      <c r="AJ104" s="1608"/>
      <c r="AK104" s="2324">
        <f t="shared" ref="AK104:AK108" si="22">ROUND(IF(AF104=0,0,AI104/ABS(AF104)),3)</f>
        <v>0.109</v>
      </c>
    </row>
    <row r="105" spans="1:37" ht="15" customHeight="1">
      <c r="A105" s="340"/>
      <c r="B105" s="369" t="s">
        <v>30</v>
      </c>
      <c r="C105" s="217"/>
      <c r="D105" s="2914">
        <f t="shared" si="20"/>
        <v>195.29999999999998</v>
      </c>
      <c r="E105" s="2502"/>
      <c r="F105" s="2501"/>
      <c r="G105" s="2502"/>
      <c r="H105" s="2501"/>
      <c r="I105" s="2502"/>
      <c r="J105" s="1544"/>
      <c r="K105" s="2509"/>
      <c r="L105" s="2743"/>
      <c r="M105" s="2509"/>
      <c r="N105" s="2743"/>
      <c r="O105" s="2509"/>
      <c r="P105" s="2914"/>
      <c r="Q105" s="3314"/>
      <c r="R105" s="2914"/>
      <c r="S105" s="3314"/>
      <c r="T105" s="2914"/>
      <c r="U105" s="3314"/>
      <c r="V105" s="2914"/>
      <c r="W105" s="3314"/>
      <c r="X105" s="2914"/>
      <c r="Y105" s="3314"/>
      <c r="Z105" s="2914"/>
      <c r="AA105" s="3315"/>
      <c r="AB105" s="3318">
        <v>0</v>
      </c>
      <c r="AC105" s="2948">
        <v>195.29999999999998</v>
      </c>
      <c r="AD105" s="3369"/>
      <c r="AE105" s="3318">
        <f t="shared" si="19"/>
        <v>195.3</v>
      </c>
      <c r="AF105" s="2948">
        <v>73.599999999999994</v>
      </c>
      <c r="AG105" s="254"/>
      <c r="AH105" s="1138"/>
      <c r="AI105" s="1042">
        <f t="shared" si="21"/>
        <v>121.7</v>
      </c>
      <c r="AJ105" s="1608"/>
      <c r="AK105" s="2324">
        <f t="shared" si="22"/>
        <v>1.6539999999999999</v>
      </c>
    </row>
    <row r="106" spans="1:37" ht="15" customHeight="1">
      <c r="A106" s="340"/>
      <c r="B106" s="369" t="s">
        <v>31</v>
      </c>
      <c r="C106" s="217"/>
      <c r="D106" s="2914">
        <f t="shared" si="20"/>
        <v>13.3</v>
      </c>
      <c r="E106" s="2502"/>
      <c r="F106" s="2501"/>
      <c r="G106" s="2502"/>
      <c r="H106" s="2501"/>
      <c r="I106" s="2502"/>
      <c r="J106" s="1544"/>
      <c r="K106" s="2509"/>
      <c r="L106" s="2743"/>
      <c r="M106" s="2509"/>
      <c r="N106" s="2743"/>
      <c r="O106" s="2509"/>
      <c r="P106" s="2914"/>
      <c r="Q106" s="3314"/>
      <c r="R106" s="2914"/>
      <c r="S106" s="3314"/>
      <c r="T106" s="2914"/>
      <c r="U106" s="3314"/>
      <c r="V106" s="2914"/>
      <c r="W106" s="3314"/>
      <c r="X106" s="2914"/>
      <c r="Y106" s="3314"/>
      <c r="Z106" s="2914"/>
      <c r="AA106" s="3315"/>
      <c r="AB106" s="3318">
        <v>0</v>
      </c>
      <c r="AC106" s="2948">
        <v>13.3</v>
      </c>
      <c r="AD106" s="3369"/>
      <c r="AE106" s="3318">
        <f t="shared" si="19"/>
        <v>13.3</v>
      </c>
      <c r="AF106" s="2948">
        <v>3.7</v>
      </c>
      <c r="AG106" s="254"/>
      <c r="AH106" s="1138" t="s">
        <v>15</v>
      </c>
      <c r="AI106" s="1042">
        <f t="shared" si="21"/>
        <v>9.6</v>
      </c>
      <c r="AJ106" s="1608"/>
      <c r="AK106" s="2324">
        <f t="shared" si="22"/>
        <v>2.5950000000000002</v>
      </c>
    </row>
    <row r="107" spans="1:37" ht="15" customHeight="1">
      <c r="A107" s="340"/>
      <c r="B107" s="369" t="s">
        <v>32</v>
      </c>
      <c r="C107" s="217"/>
      <c r="D107" s="2914">
        <f t="shared" si="20"/>
        <v>80.8</v>
      </c>
      <c r="E107" s="2502"/>
      <c r="F107" s="2501"/>
      <c r="G107" s="2502"/>
      <c r="H107" s="2501"/>
      <c r="I107" s="2502"/>
      <c r="J107" s="1544"/>
      <c r="K107" s="2509"/>
      <c r="L107" s="2743"/>
      <c r="M107" s="2509"/>
      <c r="N107" s="2743"/>
      <c r="O107" s="2509"/>
      <c r="P107" s="2914"/>
      <c r="Q107" s="3314"/>
      <c r="R107" s="2914"/>
      <c r="S107" s="3314"/>
      <c r="T107" s="2914"/>
      <c r="U107" s="3314"/>
      <c r="V107" s="2914"/>
      <c r="W107" s="3314"/>
      <c r="X107" s="2914"/>
      <c r="Y107" s="3314"/>
      <c r="Z107" s="2914"/>
      <c r="AA107" s="3315"/>
      <c r="AB107" s="3318">
        <v>0</v>
      </c>
      <c r="AC107" s="2948">
        <v>80.8</v>
      </c>
      <c r="AD107" s="3369"/>
      <c r="AE107" s="3318">
        <f t="shared" si="19"/>
        <v>80.8</v>
      </c>
      <c r="AF107" s="2948">
        <v>131.6</v>
      </c>
      <c r="AG107" s="254"/>
      <c r="AH107" s="1138"/>
      <c r="AI107" s="1042">
        <f t="shared" si="21"/>
        <v>-50.8</v>
      </c>
      <c r="AJ107" s="1608"/>
      <c r="AK107" s="2324">
        <f t="shared" si="22"/>
        <v>-0.38600000000000001</v>
      </c>
    </row>
    <row r="108" spans="1:37" ht="15" customHeight="1">
      <c r="A108" s="340"/>
      <c r="B108" s="369" t="s">
        <v>33</v>
      </c>
      <c r="C108" s="217"/>
      <c r="D108" s="2914">
        <f t="shared" si="20"/>
        <v>2.7</v>
      </c>
      <c r="E108" s="2502"/>
      <c r="F108" s="2501"/>
      <c r="G108" s="2502"/>
      <c r="H108" s="2501"/>
      <c r="I108" s="2502"/>
      <c r="J108" s="1544"/>
      <c r="K108" s="2509"/>
      <c r="L108" s="2743"/>
      <c r="M108" s="2509"/>
      <c r="N108" s="2743"/>
      <c r="O108" s="2509"/>
      <c r="P108" s="2914"/>
      <c r="Q108" s="3314"/>
      <c r="R108" s="2914"/>
      <c r="S108" s="3314"/>
      <c r="T108" s="2914"/>
      <c r="U108" s="3314"/>
      <c r="V108" s="2914"/>
      <c r="W108" s="3314"/>
      <c r="X108" s="2914"/>
      <c r="Y108" s="3314"/>
      <c r="Z108" s="2914"/>
      <c r="AA108" s="3315"/>
      <c r="AB108" s="3318">
        <v>0</v>
      </c>
      <c r="AC108" s="2948">
        <v>2.7</v>
      </c>
      <c r="AD108" s="3369"/>
      <c r="AE108" s="3318">
        <f t="shared" si="19"/>
        <v>2.7</v>
      </c>
      <c r="AF108" s="2948">
        <v>8.4</v>
      </c>
      <c r="AG108" s="254"/>
      <c r="AH108" s="1138"/>
      <c r="AI108" s="1042">
        <f t="shared" si="21"/>
        <v>-5.7</v>
      </c>
      <c r="AJ108" s="1608"/>
      <c r="AK108" s="2324">
        <f t="shared" si="22"/>
        <v>-0.67900000000000005</v>
      </c>
    </row>
    <row r="109" spans="1:37" ht="15" customHeight="1">
      <c r="A109" s="340"/>
      <c r="B109" s="369" t="s">
        <v>34</v>
      </c>
      <c r="C109" s="217"/>
      <c r="D109" s="2914">
        <f t="shared" si="20"/>
        <v>46.4</v>
      </c>
      <c r="E109" s="2502"/>
      <c r="F109" s="2501"/>
      <c r="G109" s="2502"/>
      <c r="H109" s="2501"/>
      <c r="I109" s="2502"/>
      <c r="J109" s="1544"/>
      <c r="K109" s="2509"/>
      <c r="L109" s="2743"/>
      <c r="M109" s="2509"/>
      <c r="N109" s="2743"/>
      <c r="O109" s="2509"/>
      <c r="P109" s="2914"/>
      <c r="Q109" s="3314"/>
      <c r="R109" s="2914"/>
      <c r="S109" s="3314"/>
      <c r="T109" s="2914"/>
      <c r="U109" s="3314"/>
      <c r="V109" s="2914"/>
      <c r="W109" s="3314"/>
      <c r="X109" s="2914"/>
      <c r="Y109" s="3314"/>
      <c r="Z109" s="2914"/>
      <c r="AA109" s="3315"/>
      <c r="AB109" s="3318">
        <v>0</v>
      </c>
      <c r="AC109" s="2948">
        <v>46.4</v>
      </c>
      <c r="AD109" s="3369"/>
      <c r="AE109" s="3318">
        <f t="shared" si="19"/>
        <v>46.4</v>
      </c>
      <c r="AF109" s="2948">
        <v>0</v>
      </c>
      <c r="AG109" s="257"/>
      <c r="AH109" s="1143"/>
      <c r="AI109" s="1042">
        <f t="shared" si="21"/>
        <v>46.4</v>
      </c>
      <c r="AJ109" s="1999"/>
      <c r="AK109" s="2324">
        <f>ROUND(IF(AF109=0,1,AI109/ABS(AF109)),3)</f>
        <v>1</v>
      </c>
    </row>
    <row r="110" spans="1:37" ht="15" customHeight="1">
      <c r="A110" s="340"/>
      <c r="B110" s="1212" t="s">
        <v>1081</v>
      </c>
      <c r="C110" s="217"/>
      <c r="D110" s="463">
        <f>ROUND(SUM(D100:D109),1)</f>
        <v>3035.8</v>
      </c>
      <c r="E110" s="1587"/>
      <c r="F110" s="463">
        <f>ROUND(SUM(F100:F109),1)</f>
        <v>0</v>
      </c>
      <c r="G110" s="1587"/>
      <c r="H110" s="463">
        <f>ROUND(SUM(H100:H109),1)</f>
        <v>0</v>
      </c>
      <c r="I110" s="2503" t="s">
        <v>15</v>
      </c>
      <c r="J110" s="2514">
        <f>ROUND(SUM(J100:J109),1)</f>
        <v>0</v>
      </c>
      <c r="K110" s="264" t="s">
        <v>15</v>
      </c>
      <c r="L110" s="463">
        <f>ROUND(SUM(L100:L109),1)</f>
        <v>0</v>
      </c>
      <c r="M110" s="264" t="s">
        <v>15</v>
      </c>
      <c r="N110" s="463">
        <f>ROUND(SUM(N100:N109),1)</f>
        <v>0</v>
      </c>
      <c r="O110" s="264" t="s">
        <v>15</v>
      </c>
      <c r="P110" s="3370">
        <f>ROUND(SUM(P100:P109),1)</f>
        <v>0</v>
      </c>
      <c r="Q110" s="2330" t="s">
        <v>15</v>
      </c>
      <c r="R110" s="3370">
        <f>ROUND(SUM(R100:R109),1)</f>
        <v>0</v>
      </c>
      <c r="S110" s="2330" t="s">
        <v>15</v>
      </c>
      <c r="T110" s="3370">
        <f>ROUND(SUM(T100:T109),1)</f>
        <v>0</v>
      </c>
      <c r="U110" s="2330" t="s">
        <v>15</v>
      </c>
      <c r="V110" s="3370">
        <f>ROUND(SUM(V100:V109),1)</f>
        <v>0</v>
      </c>
      <c r="W110" s="2330" t="s">
        <v>15</v>
      </c>
      <c r="X110" s="3370">
        <f>ROUND(SUM(X100:X109),1)</f>
        <v>0</v>
      </c>
      <c r="Y110" s="2330" t="s">
        <v>15</v>
      </c>
      <c r="Z110" s="3370">
        <f>ROUND(SUM(Z100:Z109),1)</f>
        <v>0</v>
      </c>
      <c r="AA110" s="3383" t="s">
        <v>15</v>
      </c>
      <c r="AB110" s="3378"/>
      <c r="AC110" s="2347">
        <f>SUM(AC100:AC109)</f>
        <v>3035.8000000000006</v>
      </c>
      <c r="AD110" s="2348"/>
      <c r="AE110" s="3328"/>
      <c r="AF110" s="2347">
        <f>ROUND(SUM(AF100:AF109),1)</f>
        <v>2569.6999999999998</v>
      </c>
      <c r="AG110" s="264"/>
      <c r="AH110" s="1140"/>
      <c r="AI110" s="463">
        <f>ROUND(SUM(+AC110-AF110),1)</f>
        <v>466.1</v>
      </c>
      <c r="AJ110" s="264"/>
      <c r="AK110" s="3707">
        <f>ROUND(SUM(AI110/AF110),3)</f>
        <v>0.18099999999999999</v>
      </c>
    </row>
    <row r="111" spans="1:37" ht="15" customHeight="1">
      <c r="A111" s="340"/>
      <c r="B111" s="218" t="s">
        <v>154</v>
      </c>
      <c r="C111" s="217"/>
      <c r="D111" s="2502"/>
      <c r="E111" s="2502"/>
      <c r="F111" s="2502"/>
      <c r="G111" s="2502"/>
      <c r="H111" s="2502"/>
      <c r="I111" s="2502"/>
      <c r="J111" s="1544"/>
      <c r="K111" s="254"/>
      <c r="L111" s="254"/>
      <c r="M111" s="254"/>
      <c r="N111" s="254"/>
      <c r="O111" s="254"/>
      <c r="P111" s="3322"/>
      <c r="Q111" s="3322"/>
      <c r="R111" s="3322"/>
      <c r="S111" s="3322"/>
      <c r="T111" s="3322"/>
      <c r="U111" s="3322"/>
      <c r="V111" s="3322"/>
      <c r="W111" s="3322"/>
      <c r="X111" s="3322"/>
      <c r="Y111" s="3322"/>
      <c r="Z111" s="3322"/>
      <c r="AA111" s="2350"/>
      <c r="AB111" s="3374"/>
      <c r="AC111" s="3316"/>
      <c r="AD111" s="3322"/>
      <c r="AE111" s="3325"/>
      <c r="AF111" s="3311"/>
      <c r="AG111" s="254"/>
      <c r="AH111" s="1138"/>
      <c r="AI111" s="1042"/>
      <c r="AJ111" s="1608"/>
      <c r="AK111" s="2316"/>
    </row>
    <row r="112" spans="1:37" ht="15" customHeight="1">
      <c r="A112" s="340"/>
      <c r="B112" s="218" t="s">
        <v>155</v>
      </c>
      <c r="C112" s="217"/>
      <c r="D112" s="2914">
        <f>$AC112</f>
        <v>667.9</v>
      </c>
      <c r="E112" s="2502"/>
      <c r="F112" s="2501"/>
      <c r="G112" s="2502"/>
      <c r="H112" s="2501"/>
      <c r="I112" s="2502"/>
      <c r="J112" s="1544"/>
      <c r="K112" s="2509"/>
      <c r="L112" s="2743"/>
      <c r="M112" s="2509"/>
      <c r="N112" s="2743"/>
      <c r="O112" s="2509"/>
      <c r="P112" s="2914"/>
      <c r="Q112" s="3314"/>
      <c r="R112" s="2914"/>
      <c r="S112" s="3314"/>
      <c r="T112" s="2914"/>
      <c r="U112" s="3314"/>
      <c r="V112" s="2914"/>
      <c r="W112" s="3314"/>
      <c r="X112" s="2914"/>
      <c r="Y112" s="3314"/>
      <c r="Z112" s="2914"/>
      <c r="AA112" s="3315"/>
      <c r="AB112" s="3318">
        <v>0</v>
      </c>
      <c r="AC112" s="2948">
        <v>667.9</v>
      </c>
      <c r="AD112" s="3369"/>
      <c r="AE112" s="3318">
        <f>ROUND(SUM(D112:AB112),1)</f>
        <v>667.9</v>
      </c>
      <c r="AF112" s="2948">
        <v>484.8</v>
      </c>
      <c r="AG112" s="254"/>
      <c r="AH112" s="1138"/>
      <c r="AI112" s="1042">
        <f>ROUND(SUM(+AC112-AF112),1)</f>
        <v>183.1</v>
      </c>
      <c r="AJ112" s="1608"/>
      <c r="AK112" s="2324">
        <f>ROUND(IF(AF112=0,0,AI112/ABS(AF112)),3)</f>
        <v>0.378</v>
      </c>
    </row>
    <row r="113" spans="1:38" ht="15" customHeight="1">
      <c r="A113" s="340"/>
      <c r="B113" s="241" t="s">
        <v>156</v>
      </c>
      <c r="C113" s="217"/>
      <c r="D113" s="2914">
        <f t="shared" ref="D113:D114" si="23">$AC113</f>
        <v>163.69999999999999</v>
      </c>
      <c r="E113" s="2502"/>
      <c r="F113" s="2501"/>
      <c r="G113" s="2502"/>
      <c r="H113" s="2501"/>
      <c r="I113" s="2502"/>
      <c r="J113" s="1544"/>
      <c r="K113" s="2509"/>
      <c r="L113" s="2743"/>
      <c r="M113" s="2509"/>
      <c r="N113" s="2743"/>
      <c r="O113" s="2509"/>
      <c r="P113" s="2914"/>
      <c r="Q113" s="3314"/>
      <c r="R113" s="2914"/>
      <c r="S113" s="3314"/>
      <c r="T113" s="2914"/>
      <c r="U113" s="3314"/>
      <c r="V113" s="2914"/>
      <c r="W113" s="3314"/>
      <c r="X113" s="2914"/>
      <c r="Y113" s="3314"/>
      <c r="Z113" s="2914"/>
      <c r="AA113" s="3315"/>
      <c r="AB113" s="3318">
        <v>0</v>
      </c>
      <c r="AC113" s="2948">
        <v>163.69999999999999</v>
      </c>
      <c r="AD113" s="3369"/>
      <c r="AE113" s="3318">
        <f>ROUND(SUM(D113:AB113),1)</f>
        <v>163.69999999999999</v>
      </c>
      <c r="AF113" s="2948">
        <v>90.8</v>
      </c>
      <c r="AG113" s="254"/>
      <c r="AH113" s="1138"/>
      <c r="AI113" s="1042">
        <f>ROUND(SUM(+AC113-AF113),1)</f>
        <v>72.900000000000006</v>
      </c>
      <c r="AJ113" s="1608"/>
      <c r="AK113" s="2324">
        <f>ROUND(IF(AF113=0,0,AI113/ABS(AF113)),3)</f>
        <v>0.80300000000000005</v>
      </c>
    </row>
    <row r="114" spans="1:38" ht="15" customHeight="1">
      <c r="A114" s="340"/>
      <c r="B114" s="241" t="s">
        <v>157</v>
      </c>
      <c r="C114" s="217"/>
      <c r="D114" s="2914">
        <f t="shared" si="23"/>
        <v>2706.6</v>
      </c>
      <c r="E114" s="1043"/>
      <c r="F114" s="2501"/>
      <c r="G114" s="1043"/>
      <c r="H114" s="2501"/>
      <c r="I114" s="2502"/>
      <c r="J114" s="1544"/>
      <c r="K114" s="2509"/>
      <c r="L114" s="2743"/>
      <c r="M114" s="2509"/>
      <c r="N114" s="2743"/>
      <c r="O114" s="2509"/>
      <c r="P114" s="2914"/>
      <c r="Q114" s="3314"/>
      <c r="R114" s="2914"/>
      <c r="S114" s="3314"/>
      <c r="T114" s="2914"/>
      <c r="U114" s="3314"/>
      <c r="V114" s="2914"/>
      <c r="W114" s="3314"/>
      <c r="X114" s="2914"/>
      <c r="Y114" s="3314"/>
      <c r="Z114" s="2914"/>
      <c r="AA114" s="3315"/>
      <c r="AB114" s="3318">
        <v>0</v>
      </c>
      <c r="AC114" s="2948">
        <v>2706.6</v>
      </c>
      <c r="AD114" s="3369"/>
      <c r="AE114" s="3318">
        <f>ROUND(SUM(D114:AB114),1)</f>
        <v>2706.6</v>
      </c>
      <c r="AF114" s="2948">
        <v>2398.1</v>
      </c>
      <c r="AG114" s="243"/>
      <c r="AH114" s="1138"/>
      <c r="AI114" s="2281">
        <f>ROUND(SUM(+AC114-AF114),1)</f>
        <v>308.5</v>
      </c>
      <c r="AJ114" s="1608"/>
      <c r="AK114" s="2327">
        <f>ROUND(IF(AF114=0,0,AI114/ABS(AF114)),3)</f>
        <v>0.129</v>
      </c>
    </row>
    <row r="115" spans="1:38" ht="7.5" customHeight="1">
      <c r="A115" s="340"/>
      <c r="B115" s="218"/>
      <c r="C115" s="217"/>
      <c r="D115" s="1210"/>
      <c r="E115" s="2502"/>
      <c r="F115" s="1210"/>
      <c r="G115" s="2502"/>
      <c r="H115" s="1210"/>
      <c r="I115" s="2502"/>
      <c r="J115" s="1758"/>
      <c r="K115" s="254"/>
      <c r="L115" s="277"/>
      <c r="M115" s="254"/>
      <c r="N115" s="277"/>
      <c r="O115" s="254"/>
      <c r="P115" s="3321"/>
      <c r="Q115" s="3322"/>
      <c r="R115" s="3525"/>
      <c r="S115" s="3322"/>
      <c r="T115" s="3321"/>
      <c r="U115" s="3322"/>
      <c r="V115" s="3321"/>
      <c r="W115" s="3322"/>
      <c r="X115" s="3321"/>
      <c r="Y115" s="3322"/>
      <c r="Z115" s="3321"/>
      <c r="AA115" s="3329"/>
      <c r="AB115" s="3374"/>
      <c r="AC115" s="3528"/>
      <c r="AD115" s="3322"/>
      <c r="AE115" s="3325"/>
      <c r="AF115" s="3381"/>
      <c r="AG115" s="243"/>
      <c r="AH115" s="1138"/>
      <c r="AI115" s="1042"/>
      <c r="AJ115" s="1608"/>
      <c r="AK115" s="2316"/>
    </row>
    <row r="116" spans="1:38" ht="15" customHeight="1">
      <c r="A116" s="340"/>
      <c r="B116" s="216" t="s">
        <v>158</v>
      </c>
      <c r="C116" s="217"/>
      <c r="D116" s="1587">
        <f>ROUND(SUM(D112:D114)+D110,1)</f>
        <v>6574</v>
      </c>
      <c r="E116" s="1587"/>
      <c r="F116" s="1587">
        <f>ROUND(SUM(F110:F114),1)</f>
        <v>0</v>
      </c>
      <c r="G116" s="1587"/>
      <c r="H116" s="1587">
        <f>ROUND(SUM(H110:H114),1)</f>
        <v>0</v>
      </c>
      <c r="I116" s="1587"/>
      <c r="J116" s="301">
        <f>ROUND(SUM(J110:J114),1)</f>
        <v>0</v>
      </c>
      <c r="K116" s="250"/>
      <c r="L116" s="250">
        <f>ROUND(SUM(L110:L114),1)</f>
        <v>0</v>
      </c>
      <c r="M116" s="250"/>
      <c r="N116" s="1587">
        <f>ROUND(SUM(N110:N114),1)</f>
        <v>0</v>
      </c>
      <c r="O116" s="1587"/>
      <c r="P116" s="2348">
        <f>ROUND(SUM(P110:P114),1)</f>
        <v>0</v>
      </c>
      <c r="Q116" s="2348"/>
      <c r="R116" s="2348">
        <f>ROUND(SUM(R110:R114),1)</f>
        <v>0</v>
      </c>
      <c r="S116" s="2348"/>
      <c r="T116" s="2348">
        <f>ROUND(SUM(T110:T114),1)</f>
        <v>0</v>
      </c>
      <c r="U116" s="2348"/>
      <c r="V116" s="2348">
        <f>ROUND(SUM(V110:V114),1)</f>
        <v>0</v>
      </c>
      <c r="W116" s="2348"/>
      <c r="X116" s="2348">
        <f>ROUND(SUM(X110:X114),1)</f>
        <v>0</v>
      </c>
      <c r="Y116" s="2348"/>
      <c r="Z116" s="2348">
        <f>ROUND(SUM(Z110:Z114),1)</f>
        <v>0</v>
      </c>
      <c r="AA116" s="3383"/>
      <c r="AB116" s="3378"/>
      <c r="AC116" s="3380">
        <f>ROUND(SUM(AC110:AC114),1)</f>
        <v>6574</v>
      </c>
      <c r="AD116" s="2348"/>
      <c r="AE116" s="3328"/>
      <c r="AF116" s="3380">
        <f>ROUND(SUM(AF110:AF114),1)</f>
        <v>5543.4</v>
      </c>
      <c r="AG116" s="264"/>
      <c r="AH116" s="1140"/>
      <c r="AI116" s="1856">
        <f>ROUND(SUM(AI110:AI114),1)</f>
        <v>1030.5999999999999</v>
      </c>
      <c r="AJ116" s="264"/>
      <c r="AK116" s="3708">
        <f>ROUND(SUM(AI116/AF116),3)</f>
        <v>0.186</v>
      </c>
    </row>
    <row r="117" spans="1:38" ht="15" customHeight="1">
      <c r="A117" s="340"/>
      <c r="B117" s="218"/>
      <c r="C117" s="217"/>
      <c r="D117" s="1210"/>
      <c r="E117" s="2502"/>
      <c r="F117" s="1210"/>
      <c r="G117" s="2502"/>
      <c r="H117" s="1210"/>
      <c r="I117" s="2502"/>
      <c r="J117" s="1758"/>
      <c r="K117" s="254"/>
      <c r="L117" s="277"/>
      <c r="M117" s="254"/>
      <c r="N117" s="277"/>
      <c r="O117" s="254"/>
      <c r="P117" s="3321"/>
      <c r="Q117" s="3322"/>
      <c r="R117" s="3321"/>
      <c r="S117" s="3322"/>
      <c r="T117" s="3321"/>
      <c r="U117" s="3322"/>
      <c r="V117" s="3321"/>
      <c r="W117" s="3322"/>
      <c r="X117" s="3321"/>
      <c r="Y117" s="3322"/>
      <c r="Z117" s="3321"/>
      <c r="AA117" s="3329"/>
      <c r="AB117" s="3374"/>
      <c r="AC117" s="3528"/>
      <c r="AD117" s="3322"/>
      <c r="AE117" s="3325"/>
      <c r="AF117" s="3381"/>
      <c r="AG117" s="243"/>
      <c r="AH117" s="1138"/>
      <c r="AI117" s="1042"/>
      <c r="AJ117" s="1608"/>
      <c r="AK117" s="2316"/>
    </row>
    <row r="118" spans="1:38" ht="15" customHeight="1">
      <c r="A118" s="340"/>
      <c r="B118" s="216" t="s">
        <v>159</v>
      </c>
      <c r="C118" s="217"/>
      <c r="D118" s="2502"/>
      <c r="E118" s="2502"/>
      <c r="F118" s="2502"/>
      <c r="G118" s="2502"/>
      <c r="H118" s="2502"/>
      <c r="I118" s="2502"/>
      <c r="J118" s="1544"/>
      <c r="K118" s="254"/>
      <c r="L118" s="254"/>
      <c r="M118" s="254"/>
      <c r="N118" s="254"/>
      <c r="O118" s="254"/>
      <c r="P118" s="3322"/>
      <c r="Q118" s="3322"/>
      <c r="R118" s="3322"/>
      <c r="S118" s="3322"/>
      <c r="T118" s="3322"/>
      <c r="U118" s="3322"/>
      <c r="V118" s="3322"/>
      <c r="W118" s="3322"/>
      <c r="X118" s="3322"/>
      <c r="Y118" s="3322"/>
      <c r="Z118" s="3322"/>
      <c r="AA118" s="2350"/>
      <c r="AB118" s="3374"/>
      <c r="AC118" s="3316"/>
      <c r="AD118" s="3322"/>
      <c r="AE118" s="3325"/>
      <c r="AF118" s="3311"/>
      <c r="AG118" s="254"/>
      <c r="AH118" s="1138"/>
      <c r="AI118" s="1042"/>
      <c r="AJ118" s="1608"/>
      <c r="AK118" s="2316"/>
    </row>
    <row r="119" spans="1:38" ht="15" customHeight="1">
      <c r="A119" s="340"/>
      <c r="B119" s="216" t="s">
        <v>45</v>
      </c>
      <c r="C119" s="217"/>
      <c r="D119" s="1587">
        <f>ROUND(SUM(D96-D116),1)</f>
        <v>-2484.6999999999998</v>
      </c>
      <c r="E119" s="1587"/>
      <c r="F119" s="1587">
        <f>ROUND(SUM(F96-F116),1)</f>
        <v>0</v>
      </c>
      <c r="G119" s="1587"/>
      <c r="H119" s="1587">
        <f>ROUND(SUM(H96-H116),1)</f>
        <v>0</v>
      </c>
      <c r="I119" s="1587"/>
      <c r="J119" s="301">
        <f>ROUND(SUM(J96-J116),1)</f>
        <v>0</v>
      </c>
      <c r="K119" s="250"/>
      <c r="L119" s="250">
        <f>ROUND(SUM(L96-L116),1)</f>
        <v>0</v>
      </c>
      <c r="M119" s="250"/>
      <c r="N119" s="1587">
        <f>ROUND(SUM(N96-N116),1)</f>
        <v>0</v>
      </c>
      <c r="O119" s="1587"/>
      <c r="P119" s="2348">
        <f>ROUND(SUM(P96-P116),1)</f>
        <v>0</v>
      </c>
      <c r="Q119" s="2348"/>
      <c r="R119" s="2348">
        <f>ROUND(SUM(R96-R116),1)</f>
        <v>0</v>
      </c>
      <c r="S119" s="2348"/>
      <c r="T119" s="2348">
        <f>ROUND(SUM(T96-T116),1)</f>
        <v>0</v>
      </c>
      <c r="U119" s="2348"/>
      <c r="V119" s="2348">
        <f>ROUND(SUM(V96-V116),1)</f>
        <v>0</v>
      </c>
      <c r="W119" s="2348"/>
      <c r="X119" s="2348">
        <f>ROUND(SUM(X96-X116),1)</f>
        <v>0</v>
      </c>
      <c r="Y119" s="2348"/>
      <c r="Z119" s="2348">
        <f>ROUND(SUM(Z96-Z116),1)</f>
        <v>0</v>
      </c>
      <c r="AA119" s="3383"/>
      <c r="AB119" s="3378"/>
      <c r="AC119" s="3380">
        <f>ROUND(SUM(AC96-AC116),1)</f>
        <v>-2484.6999999999998</v>
      </c>
      <c r="AD119" s="2348"/>
      <c r="AE119" s="3328"/>
      <c r="AF119" s="3380">
        <f>ROUND(SUM(AF96-AF116),1)</f>
        <v>-663.8</v>
      </c>
      <c r="AG119" s="250"/>
      <c r="AH119" s="1140"/>
      <c r="AI119" s="262">
        <f>ROUND(SUM(+AC119-AF119),1)</f>
        <v>-1820.9</v>
      </c>
      <c r="AJ119" s="264"/>
      <c r="AK119" s="2320">
        <f>-ROUND(AI119/AF119,3)</f>
        <v>-2.7429999999999999</v>
      </c>
    </row>
    <row r="120" spans="1:38" ht="15" customHeight="1">
      <c r="A120" s="340"/>
      <c r="B120" s="218"/>
      <c r="C120" s="217"/>
      <c r="D120" s="1210"/>
      <c r="E120" s="2502"/>
      <c r="F120" s="1210"/>
      <c r="G120" s="2502"/>
      <c r="H120" s="1210"/>
      <c r="I120" s="2502"/>
      <c r="J120" s="1758"/>
      <c r="K120" s="254"/>
      <c r="L120" s="277"/>
      <c r="M120" s="254"/>
      <c r="N120" s="277"/>
      <c r="O120" s="254"/>
      <c r="P120" s="3321"/>
      <c r="Q120" s="3322"/>
      <c r="R120" s="3321"/>
      <c r="S120" s="3322"/>
      <c r="T120" s="3321"/>
      <c r="U120" s="3322"/>
      <c r="V120" s="3321"/>
      <c r="W120" s="3322"/>
      <c r="X120" s="3321"/>
      <c r="Y120" s="3322"/>
      <c r="Z120" s="3321"/>
      <c r="AA120" s="3329"/>
      <c r="AB120" s="3374"/>
      <c r="AC120" s="3528"/>
      <c r="AD120" s="3322"/>
      <c r="AE120" s="3325"/>
      <c r="AF120" s="3381"/>
      <c r="AG120" s="277"/>
      <c r="AH120" s="1138"/>
      <c r="AI120" s="1042"/>
      <c r="AJ120" s="1608"/>
      <c r="AK120" s="2316"/>
    </row>
    <row r="121" spans="1:38" ht="15" customHeight="1">
      <c r="A121" s="340"/>
      <c r="B121" s="216" t="s">
        <v>46</v>
      </c>
      <c r="C121" s="217"/>
      <c r="D121" s="2502"/>
      <c r="E121" s="2502"/>
      <c r="F121" s="2502"/>
      <c r="G121" s="2502"/>
      <c r="H121" s="2502"/>
      <c r="I121" s="2502"/>
      <c r="J121" s="1544"/>
      <c r="K121" s="254"/>
      <c r="L121" s="254"/>
      <c r="M121" s="254"/>
      <c r="N121" s="254"/>
      <c r="O121" s="254"/>
      <c r="P121" s="3322"/>
      <c r="Q121" s="3322"/>
      <c r="R121" s="3322"/>
      <c r="S121" s="3322"/>
      <c r="T121" s="3322"/>
      <c r="U121" s="3322"/>
      <c r="V121" s="3322"/>
      <c r="W121" s="3322"/>
      <c r="X121" s="3322"/>
      <c r="Y121" s="3322"/>
      <c r="Z121" s="3322"/>
      <c r="AA121" s="2350"/>
      <c r="AB121" s="3374"/>
      <c r="AC121" s="3316"/>
      <c r="AD121" s="3322"/>
      <c r="AE121" s="3325"/>
      <c r="AF121" s="3311"/>
      <c r="AG121" s="254"/>
      <c r="AH121" s="1138"/>
      <c r="AI121" s="1042"/>
      <c r="AJ121" s="1608"/>
      <c r="AK121" s="2316"/>
    </row>
    <row r="122" spans="1:38" ht="15" customHeight="1">
      <c r="A122" s="340"/>
      <c r="B122" s="216"/>
      <c r="C122" s="217"/>
      <c r="D122" s="2502"/>
      <c r="E122" s="2502"/>
      <c r="F122" s="2502"/>
      <c r="G122" s="2502"/>
      <c r="H122" s="2502"/>
      <c r="I122" s="2502"/>
      <c r="J122" s="1544"/>
      <c r="K122" s="254"/>
      <c r="L122" s="254"/>
      <c r="M122" s="254"/>
      <c r="N122" s="254"/>
      <c r="O122" s="254"/>
      <c r="P122" s="3322"/>
      <c r="Q122" s="3322"/>
      <c r="R122" s="3322"/>
      <c r="S122" s="3322"/>
      <c r="T122" s="3322"/>
      <c r="U122" s="3322"/>
      <c r="V122" s="3322"/>
      <c r="W122" s="3322"/>
      <c r="X122" s="3322"/>
      <c r="Y122" s="3322"/>
      <c r="Z122" s="3322"/>
      <c r="AA122" s="2350"/>
      <c r="AB122" s="3374"/>
      <c r="AC122" s="3316"/>
      <c r="AD122" s="3322"/>
      <c r="AE122" s="3325"/>
      <c r="AF122" s="3311"/>
      <c r="AG122" s="254"/>
      <c r="AH122" s="1138"/>
      <c r="AI122" s="1042"/>
      <c r="AJ122" s="1608"/>
      <c r="AK122" s="2316"/>
    </row>
    <row r="123" spans="1:38" ht="15" customHeight="1">
      <c r="A123" s="340"/>
      <c r="B123" s="1560" t="s">
        <v>1092</v>
      </c>
      <c r="C123" s="295"/>
      <c r="D123" s="2914">
        <f>$AC123</f>
        <v>2927.8</v>
      </c>
      <c r="E123" s="1544"/>
      <c r="F123" s="2501"/>
      <c r="G123" s="1544"/>
      <c r="H123" s="2501"/>
      <c r="I123" s="1544"/>
      <c r="J123" s="1544"/>
      <c r="K123" s="2509"/>
      <c r="L123" s="2743"/>
      <c r="M123" s="2509"/>
      <c r="N123" s="2743"/>
      <c r="O123" s="2509"/>
      <c r="P123" s="2914"/>
      <c r="Q123" s="3314"/>
      <c r="R123" s="2914"/>
      <c r="S123" s="3314"/>
      <c r="T123" s="2914"/>
      <c r="U123" s="3314"/>
      <c r="V123" s="2914"/>
      <c r="W123" s="3314"/>
      <c r="X123" s="2914"/>
      <c r="Y123" s="3314"/>
      <c r="Z123" s="2914"/>
      <c r="AA123" s="3315"/>
      <c r="AB123" s="3318">
        <v>0</v>
      </c>
      <c r="AC123" s="2948">
        <v>2927.8</v>
      </c>
      <c r="AD123" s="3369"/>
      <c r="AE123" s="3318">
        <f t="shared" ref="AE123:AE131" si="24">ROUND(SUM(D123:AB123),1)</f>
        <v>2927.8</v>
      </c>
      <c r="AF123" s="2948">
        <v>1248.9000000000001</v>
      </c>
      <c r="AG123" s="307"/>
      <c r="AH123" s="1138"/>
      <c r="AI123" s="1042">
        <f>ROUND(SUM(+AC123-AF123),1)</f>
        <v>1678.9</v>
      </c>
      <c r="AJ123" s="1608"/>
      <c r="AK123" s="2324">
        <f t="shared" ref="AK123:AK128" si="25">ROUND(IF(AF123=0,0,AI123/ABS(AF123)),3)</f>
        <v>1.3440000000000001</v>
      </c>
    </row>
    <row r="124" spans="1:38" s="1824" customFormat="1" ht="15" customHeight="1">
      <c r="A124" s="1792"/>
      <c r="B124" s="1560" t="s">
        <v>1117</v>
      </c>
      <c r="C124" s="295"/>
      <c r="D124" s="2914">
        <f t="shared" ref="D124:D131" si="26">$AC124</f>
        <v>436</v>
      </c>
      <c r="E124" s="1544"/>
      <c r="F124" s="2501"/>
      <c r="G124" s="1544"/>
      <c r="H124" s="2501"/>
      <c r="I124" s="1544"/>
      <c r="J124" s="1544"/>
      <c r="K124" s="2509"/>
      <c r="L124" s="2743"/>
      <c r="M124" s="2509"/>
      <c r="N124" s="2743"/>
      <c r="O124" s="2509"/>
      <c r="P124" s="2914"/>
      <c r="Q124" s="3314"/>
      <c r="R124" s="2914"/>
      <c r="S124" s="3314"/>
      <c r="T124" s="2914"/>
      <c r="U124" s="3314"/>
      <c r="V124" s="2914"/>
      <c r="W124" s="3314"/>
      <c r="X124" s="2914"/>
      <c r="Y124" s="3314"/>
      <c r="Z124" s="2914"/>
      <c r="AA124" s="3315"/>
      <c r="AB124" s="3318">
        <v>0</v>
      </c>
      <c r="AC124" s="2948">
        <v>436</v>
      </c>
      <c r="AD124" s="3369"/>
      <c r="AE124" s="3318">
        <f t="shared" si="24"/>
        <v>436</v>
      </c>
      <c r="AF124" s="2948">
        <v>412.7</v>
      </c>
      <c r="AG124" s="307"/>
      <c r="AH124" s="2990"/>
      <c r="AI124" s="1544">
        <f>ROUND(SUM(+AC124-AF124),1)</f>
        <v>23.3</v>
      </c>
      <c r="AJ124" s="1740"/>
      <c r="AK124" s="2843">
        <f t="shared" si="25"/>
        <v>5.6000000000000001E-2</v>
      </c>
      <c r="AL124" s="398"/>
    </row>
    <row r="125" spans="1:38" s="1824" customFormat="1" ht="15" customHeight="1">
      <c r="A125" s="1792"/>
      <c r="B125" s="1560" t="s">
        <v>1093</v>
      </c>
      <c r="C125" s="295"/>
      <c r="D125" s="2914">
        <f t="shared" si="26"/>
        <v>73.8</v>
      </c>
      <c r="E125" s="1544"/>
      <c r="F125" s="2501"/>
      <c r="G125" s="1544"/>
      <c r="H125" s="2501"/>
      <c r="I125" s="1544"/>
      <c r="J125" s="1544"/>
      <c r="K125" s="2509"/>
      <c r="L125" s="2743"/>
      <c r="M125" s="2509"/>
      <c r="N125" s="2743"/>
      <c r="O125" s="2509"/>
      <c r="P125" s="2914"/>
      <c r="Q125" s="3314"/>
      <c r="R125" s="2914"/>
      <c r="S125" s="3314"/>
      <c r="T125" s="2914"/>
      <c r="U125" s="3314"/>
      <c r="V125" s="2914"/>
      <c r="W125" s="3314"/>
      <c r="X125" s="2914"/>
      <c r="Y125" s="3314"/>
      <c r="Z125" s="2914"/>
      <c r="AA125" s="3315"/>
      <c r="AB125" s="3318">
        <v>0</v>
      </c>
      <c r="AC125" s="2948">
        <v>73.8</v>
      </c>
      <c r="AD125" s="3369"/>
      <c r="AE125" s="3318">
        <f t="shared" si="24"/>
        <v>73.8</v>
      </c>
      <c r="AF125" s="2948">
        <v>81</v>
      </c>
      <c r="AG125" s="307"/>
      <c r="AH125" s="2990"/>
      <c r="AI125" s="1544">
        <f>ROUND(SUM(+AC125-AF125),1)</f>
        <v>-7.2</v>
      </c>
      <c r="AJ125" s="1740"/>
      <c r="AK125" s="2843">
        <f t="shared" si="25"/>
        <v>-8.8999999999999996E-2</v>
      </c>
      <c r="AL125" s="398"/>
    </row>
    <row r="126" spans="1:38" s="1824" customFormat="1" ht="15" customHeight="1">
      <c r="A126" s="1792"/>
      <c r="B126" s="466" t="s">
        <v>161</v>
      </c>
      <c r="C126" s="295"/>
      <c r="D126" s="2914">
        <f t="shared" si="26"/>
        <v>101.39999999999982</v>
      </c>
      <c r="E126" s="1544"/>
      <c r="F126" s="2501"/>
      <c r="G126" s="1544"/>
      <c r="H126" s="2501"/>
      <c r="I126" s="1544"/>
      <c r="J126" s="1544"/>
      <c r="K126" s="2509"/>
      <c r="L126" s="2743"/>
      <c r="M126" s="2509"/>
      <c r="N126" s="2743"/>
      <c r="O126" s="2509"/>
      <c r="P126" s="2914"/>
      <c r="Q126" s="3314"/>
      <c r="R126" s="2914"/>
      <c r="S126" s="3314"/>
      <c r="T126" s="2914"/>
      <c r="U126" s="3314"/>
      <c r="V126" s="2914"/>
      <c r="W126" s="3314"/>
      <c r="X126" s="2914"/>
      <c r="Y126" s="3314"/>
      <c r="Z126" s="2914"/>
      <c r="AA126" s="3315"/>
      <c r="AB126" s="3318">
        <v>0</v>
      </c>
      <c r="AC126" s="2948">
        <v>101.39999999999982</v>
      </c>
      <c r="AD126" s="3369"/>
      <c r="AE126" s="3318">
        <f t="shared" si="24"/>
        <v>101.4</v>
      </c>
      <c r="AF126" s="2948">
        <v>10.300000000000011</v>
      </c>
      <c r="AG126" s="307"/>
      <c r="AH126" s="2990"/>
      <c r="AI126" s="1544">
        <f>ROUND(SUM(+AC126-AF126),1)</f>
        <v>91.1</v>
      </c>
      <c r="AJ126" s="1740"/>
      <c r="AK126" s="2843">
        <f t="shared" si="25"/>
        <v>8.8450000000000006</v>
      </c>
      <c r="AL126" s="398"/>
    </row>
    <row r="127" spans="1:38" ht="15" customHeight="1">
      <c r="A127" s="340" t="s">
        <v>15</v>
      </c>
      <c r="B127" s="218" t="s">
        <v>162</v>
      </c>
      <c r="C127" s="217"/>
      <c r="D127" s="2914">
        <f t="shared" si="26"/>
        <v>45.6</v>
      </c>
      <c r="E127" s="2502"/>
      <c r="F127" s="2501"/>
      <c r="G127" s="2502"/>
      <c r="H127" s="2501"/>
      <c r="I127" s="2502"/>
      <c r="J127" s="1544"/>
      <c r="K127" s="2509"/>
      <c r="L127" s="2743"/>
      <c r="M127" s="2509"/>
      <c r="N127" s="2743"/>
      <c r="O127" s="2509"/>
      <c r="P127" s="2914"/>
      <c r="Q127" s="3314"/>
      <c r="R127" s="2914"/>
      <c r="S127" s="3314"/>
      <c r="T127" s="2914"/>
      <c r="U127" s="3314"/>
      <c r="V127" s="2914"/>
      <c r="W127" s="3314"/>
      <c r="X127" s="2914"/>
      <c r="Y127" s="3314"/>
      <c r="Z127" s="2914"/>
      <c r="AA127" s="3315"/>
      <c r="AB127" s="3318">
        <v>0</v>
      </c>
      <c r="AC127" s="2948">
        <v>45.6</v>
      </c>
      <c r="AD127" s="3369"/>
      <c r="AE127" s="3318">
        <f t="shared" si="24"/>
        <v>45.6</v>
      </c>
      <c r="AF127" s="2948">
        <v>-259.7</v>
      </c>
      <c r="AG127" s="254"/>
      <c r="AH127" s="1138"/>
      <c r="AI127" s="1042">
        <f>ROUND(SUM(+AC127-AF127)*-1,1)</f>
        <v>-305.3</v>
      </c>
      <c r="AJ127" s="1608"/>
      <c r="AK127" s="2372">
        <f t="shared" si="25"/>
        <v>-1.1759999999999999</v>
      </c>
    </row>
    <row r="128" spans="1:38" s="1824" customFormat="1" ht="15" customHeight="1">
      <c r="A128" s="1792"/>
      <c r="B128" s="296" t="s">
        <v>163</v>
      </c>
      <c r="C128" s="295"/>
      <c r="D128" s="2914">
        <f t="shared" si="26"/>
        <v>0</v>
      </c>
      <c r="E128" s="1544"/>
      <c r="F128" s="2501"/>
      <c r="G128" s="1544"/>
      <c r="H128" s="2501"/>
      <c r="I128" s="1544"/>
      <c r="J128" s="1544"/>
      <c r="K128" s="2509"/>
      <c r="L128" s="2743"/>
      <c r="M128" s="2509"/>
      <c r="N128" s="2743"/>
      <c r="O128" s="2509"/>
      <c r="P128" s="2914"/>
      <c r="Q128" s="3314"/>
      <c r="R128" s="2914"/>
      <c r="S128" s="3314"/>
      <c r="T128" s="2914"/>
      <c r="U128" s="3314"/>
      <c r="V128" s="2914"/>
      <c r="W128" s="3314"/>
      <c r="X128" s="2914"/>
      <c r="Y128" s="3314"/>
      <c r="Z128" s="2914"/>
      <c r="AA128" s="3315"/>
      <c r="AB128" s="3318">
        <v>0</v>
      </c>
      <c r="AC128" s="2948">
        <v>0</v>
      </c>
      <c r="AD128" s="3369"/>
      <c r="AE128" s="3318">
        <f t="shared" si="24"/>
        <v>0</v>
      </c>
      <c r="AF128" s="2948">
        <v>0</v>
      </c>
      <c r="AG128" s="307"/>
      <c r="AH128" s="2990"/>
      <c r="AI128" s="1544">
        <f>ROUND(SUM(+AC128-AF128)*-1,1)</f>
        <v>0</v>
      </c>
      <c r="AJ128" s="1740"/>
      <c r="AK128" s="2843">
        <f t="shared" si="25"/>
        <v>0</v>
      </c>
      <c r="AL128" s="398"/>
    </row>
    <row r="129" spans="1:38" s="1824" customFormat="1" ht="15" customHeight="1">
      <c r="A129" s="1792"/>
      <c r="B129" s="1710" t="s">
        <v>1360</v>
      </c>
      <c r="C129" s="295"/>
      <c r="D129" s="2914">
        <f t="shared" si="26"/>
        <v>-100</v>
      </c>
      <c r="E129" s="1544"/>
      <c r="F129" s="2501"/>
      <c r="G129" s="1544"/>
      <c r="H129" s="2501"/>
      <c r="I129" s="1544"/>
      <c r="J129" s="1544"/>
      <c r="K129" s="2509"/>
      <c r="L129" s="2743"/>
      <c r="M129" s="2509"/>
      <c r="N129" s="2743"/>
      <c r="O129" s="2509"/>
      <c r="P129" s="2914"/>
      <c r="Q129" s="3314"/>
      <c r="R129" s="2914"/>
      <c r="S129" s="3314"/>
      <c r="T129" s="2914"/>
      <c r="U129" s="3314"/>
      <c r="V129" s="2914"/>
      <c r="W129" s="3314"/>
      <c r="X129" s="2914"/>
      <c r="Y129" s="3314"/>
      <c r="Z129" s="2914"/>
      <c r="AA129" s="3315"/>
      <c r="AB129" s="3318">
        <v>0</v>
      </c>
      <c r="AC129" s="2948">
        <v>-100</v>
      </c>
      <c r="AD129" s="3369"/>
      <c r="AE129" s="3318">
        <f t="shared" si="24"/>
        <v>-100</v>
      </c>
      <c r="AF129" s="2948">
        <v>-50</v>
      </c>
      <c r="AG129" s="307"/>
      <c r="AH129" s="2990"/>
      <c r="AI129" s="1544">
        <f>ROUND(SUM(+AC129-AF129)*-1,1)</f>
        <v>50</v>
      </c>
      <c r="AJ129" s="1740"/>
      <c r="AK129" s="2849">
        <f>ROUND(IF(AF129=0,1,AI129/ABS(AF129)),3)</f>
        <v>1</v>
      </c>
      <c r="AL129" s="398"/>
    </row>
    <row r="130" spans="1:38" s="1824" customFormat="1" ht="15" customHeight="1">
      <c r="A130" s="1792"/>
      <c r="B130" s="296" t="s">
        <v>164</v>
      </c>
      <c r="C130" s="295"/>
      <c r="D130" s="2914">
        <f t="shared" si="26"/>
        <v>-192.3</v>
      </c>
      <c r="E130" s="2502"/>
      <c r="F130" s="2501"/>
      <c r="G130" s="2502"/>
      <c r="H130" s="2501"/>
      <c r="I130" s="2502"/>
      <c r="J130" s="1544"/>
      <c r="K130" s="2509"/>
      <c r="L130" s="2743"/>
      <c r="M130" s="2509"/>
      <c r="N130" s="2743"/>
      <c r="O130" s="2509"/>
      <c r="P130" s="2914"/>
      <c r="Q130" s="3314"/>
      <c r="R130" s="2914"/>
      <c r="S130" s="3314"/>
      <c r="T130" s="2914"/>
      <c r="U130" s="3314"/>
      <c r="V130" s="2914"/>
      <c r="W130" s="3314"/>
      <c r="X130" s="2914"/>
      <c r="Y130" s="3314"/>
      <c r="Z130" s="2914"/>
      <c r="AA130" s="3315"/>
      <c r="AB130" s="3318">
        <v>0</v>
      </c>
      <c r="AC130" s="2948">
        <v>-192.3</v>
      </c>
      <c r="AD130" s="3369"/>
      <c r="AE130" s="3318">
        <f t="shared" si="24"/>
        <v>-192.3</v>
      </c>
      <c r="AF130" s="2948">
        <v>-274.39999999999998</v>
      </c>
      <c r="AG130" s="307"/>
      <c r="AH130" s="2990"/>
      <c r="AI130" s="1544">
        <f>ROUND(SUM(+AC130-AF130)*-1,1)</f>
        <v>-82.1</v>
      </c>
      <c r="AJ130" s="1740"/>
      <c r="AK130" s="2843">
        <f>ROUND(IF(AF130=0,0,AI130/ABS(AF130)),3)</f>
        <v>-0.29899999999999999</v>
      </c>
      <c r="AL130" s="398"/>
    </row>
    <row r="131" spans="1:38" s="1824" customFormat="1" ht="15" customHeight="1">
      <c r="A131" s="1792"/>
      <c r="B131" s="296" t="s">
        <v>165</v>
      </c>
      <c r="C131" s="295"/>
      <c r="D131" s="2914">
        <f t="shared" si="26"/>
        <v>-315.09999999999991</v>
      </c>
      <c r="E131" s="1544"/>
      <c r="F131" s="2501"/>
      <c r="G131" s="1544"/>
      <c r="H131" s="2501"/>
      <c r="I131" s="1544"/>
      <c r="J131" s="1544"/>
      <c r="K131" s="2509"/>
      <c r="L131" s="2743"/>
      <c r="M131" s="2509"/>
      <c r="N131" s="2743"/>
      <c r="O131" s="2509"/>
      <c r="P131" s="2914"/>
      <c r="Q131" s="3314"/>
      <c r="R131" s="2914"/>
      <c r="S131" s="3314"/>
      <c r="T131" s="2914"/>
      <c r="U131" s="3314"/>
      <c r="V131" s="2914"/>
      <c r="W131" s="3314"/>
      <c r="X131" s="2914"/>
      <c r="Y131" s="3314"/>
      <c r="Z131" s="2914"/>
      <c r="AA131" s="3315"/>
      <c r="AB131" s="3318">
        <v>0</v>
      </c>
      <c r="AC131" s="2948">
        <v>-315.09999999999991</v>
      </c>
      <c r="AD131" s="3369"/>
      <c r="AE131" s="3318">
        <f t="shared" si="24"/>
        <v>-315.10000000000002</v>
      </c>
      <c r="AF131" s="2948">
        <v>-848.80000000000007</v>
      </c>
      <c r="AG131" s="255"/>
      <c r="AH131" s="2990"/>
      <c r="AI131" s="2991">
        <f>ROUND(SUM(+AC131-AF131)*-1,1)</f>
        <v>-533.70000000000005</v>
      </c>
      <c r="AJ131" s="1740"/>
      <c r="AK131" s="2955">
        <f>ROUND(IF(AF131=0,0,AI131/ABS(AF131)),3)</f>
        <v>-0.629</v>
      </c>
      <c r="AL131" s="398"/>
    </row>
    <row r="132" spans="1:38" ht="5.0999999999999996" customHeight="1">
      <c r="A132" s="340"/>
      <c r="B132" s="296"/>
      <c r="C132" s="295"/>
      <c r="D132" s="315"/>
      <c r="E132" s="307"/>
      <c r="F132" s="315"/>
      <c r="G132" s="307"/>
      <c r="H132" s="315" t="s">
        <v>15</v>
      </c>
      <c r="I132" s="307"/>
      <c r="J132" s="315"/>
      <c r="K132" s="307"/>
      <c r="L132" s="315"/>
      <c r="M132" s="307"/>
      <c r="N132" s="315"/>
      <c r="O132" s="307"/>
      <c r="P132" s="315"/>
      <c r="Q132" s="307"/>
      <c r="R132" s="315"/>
      <c r="S132" s="307"/>
      <c r="T132" s="315"/>
      <c r="U132" s="307"/>
      <c r="V132" s="315"/>
      <c r="W132" s="307"/>
      <c r="X132" s="315"/>
      <c r="Y132" s="307"/>
      <c r="Z132" s="315"/>
      <c r="AA132" s="306"/>
      <c r="AB132" s="2986"/>
      <c r="AC132" s="3121"/>
      <c r="AD132" s="307"/>
      <c r="AE132" s="1794"/>
      <c r="AF132" s="315"/>
      <c r="AG132" s="255"/>
      <c r="AH132" s="1138"/>
      <c r="AI132" s="1042"/>
      <c r="AJ132" s="1608"/>
      <c r="AK132" s="2316"/>
    </row>
    <row r="133" spans="1:38" ht="15" customHeight="1">
      <c r="A133" s="340"/>
      <c r="B133" s="216" t="s">
        <v>166</v>
      </c>
      <c r="C133" s="217"/>
      <c r="D133" s="254"/>
      <c r="E133" s="254"/>
      <c r="F133" s="254"/>
      <c r="G133" s="254"/>
      <c r="H133" s="254"/>
      <c r="I133" s="254"/>
      <c r="J133" s="307"/>
      <c r="K133" s="254"/>
      <c r="L133" s="254"/>
      <c r="M133" s="254"/>
      <c r="N133" s="254"/>
      <c r="O133" s="254"/>
      <c r="P133" s="254"/>
      <c r="Q133" s="254"/>
      <c r="R133" s="254"/>
      <c r="S133" s="254"/>
      <c r="T133" s="254"/>
      <c r="U133" s="254"/>
      <c r="V133" s="254"/>
      <c r="W133" s="254"/>
      <c r="X133" s="254"/>
      <c r="Y133" s="355"/>
      <c r="Z133" s="355"/>
      <c r="AA133" s="355"/>
      <c r="AB133" s="2984"/>
      <c r="AC133" s="2502"/>
      <c r="AD133" s="254"/>
      <c r="AE133" s="246"/>
      <c r="AF133" s="307"/>
      <c r="AG133" s="254"/>
      <c r="AH133" s="1138"/>
      <c r="AI133" s="1042"/>
      <c r="AJ133" s="1608"/>
      <c r="AK133" s="2316"/>
    </row>
    <row r="134" spans="1:38" ht="15" customHeight="1">
      <c r="A134" s="340"/>
      <c r="B134" s="216" t="s">
        <v>167</v>
      </c>
      <c r="C134" s="217"/>
      <c r="D134" s="250">
        <f>ROUND(SUM(D123:D132),1)</f>
        <v>2977.2</v>
      </c>
      <c r="E134" s="250"/>
      <c r="F134" s="250">
        <f>ROUND(SUM(F123:F132),1)</f>
        <v>0</v>
      </c>
      <c r="G134" s="250"/>
      <c r="H134" s="250">
        <f>ROUND(SUM(H123:H132),1)</f>
        <v>0</v>
      </c>
      <c r="I134" s="250"/>
      <c r="J134" s="301">
        <f>ROUND(SUM(J123:J131),1)</f>
        <v>0</v>
      </c>
      <c r="K134" s="250"/>
      <c r="L134" s="250">
        <f>ROUND(SUM(L123:L131),1)</f>
        <v>0</v>
      </c>
      <c r="M134" s="250"/>
      <c r="N134" s="250">
        <f>ROUND(SUM(N123:N131),1)</f>
        <v>0</v>
      </c>
      <c r="O134" s="250"/>
      <c r="P134" s="250">
        <f>ROUND(SUM(P123:P131),1)</f>
        <v>0</v>
      </c>
      <c r="Q134" s="250"/>
      <c r="R134" s="250">
        <f>ROUND(SUM(R123:R131),1)</f>
        <v>0</v>
      </c>
      <c r="S134" s="250"/>
      <c r="T134" s="250">
        <f>ROUND(SUM(T123:T131),1)</f>
        <v>0</v>
      </c>
      <c r="U134" s="250"/>
      <c r="V134" s="250">
        <f>ROUND(SUM(V123:V131),1)</f>
        <v>0</v>
      </c>
      <c r="W134" s="250"/>
      <c r="X134" s="250">
        <f>ROUND(SUM(X123:X131),1)</f>
        <v>0</v>
      </c>
      <c r="Y134" s="397"/>
      <c r="Z134" s="250">
        <f>ROUND(SUM(Z123:Z131),1)</f>
        <v>0</v>
      </c>
      <c r="AA134" s="356"/>
      <c r="AB134" s="2985"/>
      <c r="AC134" s="1587">
        <f>ROUND(SUM(AC123:AC131),1)</f>
        <v>2977.2</v>
      </c>
      <c r="AD134" s="250"/>
      <c r="AE134" s="694"/>
      <c r="AF134" s="301">
        <f>ROUND(SUM(AF123:AF131),1)</f>
        <v>320</v>
      </c>
      <c r="AG134" s="264"/>
      <c r="AH134" s="1140"/>
      <c r="AI134" s="262">
        <f>ROUND(SUM(+AC134-AF134),1)</f>
        <v>2657.2</v>
      </c>
      <c r="AJ134" s="264"/>
      <c r="AK134" s="2320">
        <f>ROUND(SUM(+AI134/AF134),3)</f>
        <v>8.3040000000000003</v>
      </c>
    </row>
    <row r="135" spans="1:38" ht="15" customHeight="1">
      <c r="A135" s="340"/>
      <c r="B135" s="218"/>
      <c r="C135" s="217"/>
      <c r="D135" s="277"/>
      <c r="E135" s="254"/>
      <c r="F135" s="277"/>
      <c r="G135" s="254"/>
      <c r="H135" s="277"/>
      <c r="I135" s="254"/>
      <c r="J135" s="315"/>
      <c r="K135" s="254"/>
      <c r="L135" s="277"/>
      <c r="M135" s="254"/>
      <c r="N135" s="277"/>
      <c r="O135" s="254"/>
      <c r="P135" s="277"/>
      <c r="Q135" s="254"/>
      <c r="R135" s="277"/>
      <c r="S135" s="254"/>
      <c r="T135" s="277"/>
      <c r="U135" s="254"/>
      <c r="V135" s="277"/>
      <c r="W135" s="254"/>
      <c r="X135" s="277"/>
      <c r="Y135" s="355"/>
      <c r="Z135" s="358"/>
      <c r="AA135" s="247"/>
      <c r="AB135" s="2984"/>
      <c r="AC135" s="3117"/>
      <c r="AD135" s="254"/>
      <c r="AE135" s="246"/>
      <c r="AF135" s="315"/>
      <c r="AG135" s="243"/>
      <c r="AH135" s="1138"/>
      <c r="AI135" s="1213"/>
      <c r="AJ135" s="1355"/>
      <c r="AK135" s="2336"/>
    </row>
    <row r="136" spans="1:38" ht="15" customHeight="1">
      <c r="A136" s="340"/>
      <c r="B136" s="216" t="s">
        <v>168</v>
      </c>
      <c r="C136" s="217"/>
      <c r="D136" s="254"/>
      <c r="E136" s="254"/>
      <c r="F136" s="254"/>
      <c r="G136" s="254"/>
      <c r="H136" s="254"/>
      <c r="I136" s="254"/>
      <c r="J136" s="307"/>
      <c r="K136" s="254"/>
      <c r="L136" s="254"/>
      <c r="M136" s="254"/>
      <c r="N136" s="254"/>
      <c r="O136" s="254"/>
      <c r="P136" s="254"/>
      <c r="Q136" s="254"/>
      <c r="R136" s="254"/>
      <c r="S136" s="254"/>
      <c r="T136" s="254"/>
      <c r="U136" s="254"/>
      <c r="V136" s="254"/>
      <c r="W136" s="254"/>
      <c r="X136" s="254"/>
      <c r="Y136" s="355"/>
      <c r="Z136" s="355"/>
      <c r="AA136" s="355"/>
      <c r="AB136" s="2984"/>
      <c r="AC136" s="2502"/>
      <c r="AD136" s="254"/>
      <c r="AE136" s="246"/>
      <c r="AF136" s="307"/>
      <c r="AG136" s="254"/>
      <c r="AH136" s="1138"/>
      <c r="AI136" s="1213"/>
      <c r="AJ136" s="1355"/>
      <c r="AK136" s="2336"/>
    </row>
    <row r="137" spans="1:38" ht="15" customHeight="1">
      <c r="A137" s="340"/>
      <c r="B137" s="216" t="s">
        <v>169</v>
      </c>
      <c r="C137" s="217"/>
      <c r="D137" s="254"/>
      <c r="E137" s="254"/>
      <c r="F137" s="254"/>
      <c r="G137" s="254"/>
      <c r="H137" s="254"/>
      <c r="I137" s="254"/>
      <c r="J137" s="307"/>
      <c r="K137" s="254"/>
      <c r="L137" s="254"/>
      <c r="M137" s="254"/>
      <c r="N137" s="254"/>
      <c r="O137" s="254"/>
      <c r="P137" s="254"/>
      <c r="Q137" s="254"/>
      <c r="R137" s="254"/>
      <c r="S137" s="254"/>
      <c r="T137" s="254"/>
      <c r="U137" s="254"/>
      <c r="V137" s="254"/>
      <c r="W137" s="254"/>
      <c r="X137" s="254"/>
      <c r="Y137" s="355"/>
      <c r="Z137" s="355"/>
      <c r="AA137" s="355"/>
      <c r="AB137" s="2984"/>
      <c r="AC137" s="2502"/>
      <c r="AD137" s="254"/>
      <c r="AE137" s="246"/>
      <c r="AF137" s="307"/>
      <c r="AG137" s="254"/>
      <c r="AH137" s="1138"/>
      <c r="AI137" s="1213"/>
      <c r="AJ137" s="1355"/>
      <c r="AK137" s="2336"/>
    </row>
    <row r="138" spans="1:38" ht="15" customHeight="1">
      <c r="A138" s="340"/>
      <c r="B138" s="216" t="s">
        <v>170</v>
      </c>
      <c r="C138" s="217"/>
      <c r="D138" s="250">
        <f>ROUND(SUM(D119+D134),1)</f>
        <v>492.5</v>
      </c>
      <c r="E138" s="250"/>
      <c r="F138" s="250">
        <f>ROUND(SUM(F119+F134),1)</f>
        <v>0</v>
      </c>
      <c r="G138" s="250"/>
      <c r="H138" s="250">
        <f>ROUND(SUM(H119+H134),1)</f>
        <v>0</v>
      </c>
      <c r="I138" s="250"/>
      <c r="J138" s="301">
        <f>ROUND(SUM(J119+J134),1)</f>
        <v>0</v>
      </c>
      <c r="K138" s="250"/>
      <c r="L138" s="250">
        <f>ROUND(SUM(L119+L134),1)</f>
        <v>0</v>
      </c>
      <c r="M138" s="250"/>
      <c r="N138" s="250">
        <f>ROUND(SUM(N119+N134),1)</f>
        <v>0</v>
      </c>
      <c r="O138" s="250"/>
      <c r="P138" s="250">
        <f>ROUND(SUM(P119+P134),1)</f>
        <v>0</v>
      </c>
      <c r="Q138" s="250"/>
      <c r="R138" s="250">
        <f>ROUND(SUM(R119+R134),1)</f>
        <v>0</v>
      </c>
      <c r="S138" s="254"/>
      <c r="T138" s="250">
        <f>ROUND(SUM(T119+T134),1)</f>
        <v>0</v>
      </c>
      <c r="U138" s="254"/>
      <c r="V138" s="250">
        <f>ROUND(SUM(V119+V134),1)</f>
        <v>0</v>
      </c>
      <c r="W138" s="254"/>
      <c r="X138" s="250">
        <f>ROUND(SUM(X119+X134),1)</f>
        <v>0</v>
      </c>
      <c r="Y138" s="355"/>
      <c r="Z138" s="262">
        <f>ROUND(SUM(Z119+Z134),1)</f>
        <v>0</v>
      </c>
      <c r="AA138" s="247"/>
      <c r="AB138" s="2984"/>
      <c r="AC138" s="1587">
        <f>ROUND(SUM(AC119+AC134),1)</f>
        <v>492.5</v>
      </c>
      <c r="AD138" s="250"/>
      <c r="AE138" s="694"/>
      <c r="AF138" s="301">
        <f>ROUND(SUM(AF119+AF134),1)</f>
        <v>-343.8</v>
      </c>
      <c r="AG138" s="264"/>
      <c r="AH138" s="1140"/>
      <c r="AI138" s="262">
        <f>ROUND(SUM(+AC138-AF138),1)</f>
        <v>836.3</v>
      </c>
      <c r="AJ138" s="2282"/>
      <c r="AK138" s="3709">
        <f>-ROUND(SUM(AI138/AF138),3)</f>
        <v>2.4329999999999998</v>
      </c>
    </row>
    <row r="139" spans="1:38" ht="9" customHeight="1">
      <c r="A139" s="340"/>
      <c r="B139" s="218"/>
      <c r="C139" s="217"/>
      <c r="D139" s="358"/>
      <c r="E139" s="218"/>
      <c r="F139" s="449"/>
      <c r="G139" s="218"/>
      <c r="H139" s="230"/>
      <c r="I139" s="218"/>
      <c r="J139" s="315"/>
      <c r="K139" s="218"/>
      <c r="L139" s="230"/>
      <c r="M139" s="218"/>
      <c r="N139" s="230"/>
      <c r="O139" s="218"/>
      <c r="P139" s="230"/>
      <c r="Q139" s="218"/>
      <c r="R139" s="230"/>
      <c r="S139" s="218"/>
      <c r="T139" s="230"/>
      <c r="U139" s="218"/>
      <c r="V139" s="230"/>
      <c r="W139" s="218"/>
      <c r="X139" s="230"/>
      <c r="Y139" s="218"/>
      <c r="Z139" s="224"/>
      <c r="AA139" s="224"/>
      <c r="AB139" s="2984"/>
      <c r="AC139" s="3117"/>
      <c r="AD139" s="254"/>
      <c r="AE139" s="246"/>
      <c r="AF139" s="315"/>
      <c r="AG139" s="243"/>
      <c r="AH139" s="1138"/>
      <c r="AI139" s="1210"/>
      <c r="AJ139" s="1355"/>
      <c r="AK139" s="3710"/>
    </row>
    <row r="140" spans="1:38" ht="15" customHeight="1" thickBot="1">
      <c r="A140" s="340"/>
      <c r="B140" s="467" t="s">
        <v>143</v>
      </c>
      <c r="C140" s="295"/>
      <c r="D140" s="468">
        <f>ROUND(SUM(D14+D138),1)</f>
        <v>9937.5</v>
      </c>
      <c r="E140" s="469"/>
      <c r="F140" s="468">
        <f>ROUND(SUM(F14+F138),1)</f>
        <v>0</v>
      </c>
      <c r="G140" s="470"/>
      <c r="H140" s="468">
        <f>ROUND(SUM(H14+H138),1)</f>
        <v>0</v>
      </c>
      <c r="I140" s="470"/>
      <c r="J140" s="468">
        <f>ROUND(SUM(J14+J138),1)</f>
        <v>0</v>
      </c>
      <c r="K140" s="470"/>
      <c r="L140" s="468">
        <f>ROUND(SUM(L14+L138),1)</f>
        <v>0</v>
      </c>
      <c r="M140" s="470"/>
      <c r="N140" s="468">
        <f>ROUND(SUM(N14+N138),1)</f>
        <v>0</v>
      </c>
      <c r="O140" s="470"/>
      <c r="P140" s="468">
        <f>ROUND(SUM(P14+P138),1)</f>
        <v>0</v>
      </c>
      <c r="Q140" s="470"/>
      <c r="R140" s="468">
        <f>ROUND(SUM(R14+R138),1)</f>
        <v>0</v>
      </c>
      <c r="S140" s="470"/>
      <c r="T140" s="468">
        <f>ROUND(SUM(T14+T138),1)</f>
        <v>0</v>
      </c>
      <c r="U140" s="470"/>
      <c r="V140" s="468">
        <f>ROUND(SUM(V14+V138),1)</f>
        <v>0</v>
      </c>
      <c r="W140" s="470"/>
      <c r="X140" s="468">
        <f>ROUND(SUM(X14+X138),1)</f>
        <v>0</v>
      </c>
      <c r="Y140" s="470"/>
      <c r="Z140" s="468">
        <f>ROUND(SUM(Z14+Z138),1)</f>
        <v>0</v>
      </c>
      <c r="AA140" s="469"/>
      <c r="AB140" s="2987"/>
      <c r="AC140" s="3075">
        <f>ROUND(SUM(AC14+AC138),1)</f>
        <v>9937.5</v>
      </c>
      <c r="AD140" s="301"/>
      <c r="AE140" s="2988"/>
      <c r="AF140" s="468">
        <f>ROUND(SUM(AF14+AF138),1)</f>
        <v>7404.8</v>
      </c>
      <c r="AG140" s="372"/>
      <c r="AH140" s="453"/>
      <c r="AI140" s="479">
        <f>ROUND(SUM(+AC140-AF140),1)</f>
        <v>2532.6999999999998</v>
      </c>
      <c r="AJ140" s="2282"/>
      <c r="AK140" s="3711">
        <f>ROUND(SUM(+AI140/AF140),3)</f>
        <v>0.34200000000000003</v>
      </c>
    </row>
    <row r="141" spans="1:38" ht="15" customHeight="1" thickTop="1">
      <c r="A141" s="340"/>
      <c r="B141" s="218"/>
      <c r="C141" s="217"/>
      <c r="D141" s="224"/>
      <c r="E141" s="223"/>
      <c r="F141" s="471"/>
      <c r="G141" s="223"/>
      <c r="H141" s="224"/>
      <c r="I141" s="223"/>
      <c r="J141" s="255"/>
      <c r="K141" s="223"/>
      <c r="L141" s="224"/>
      <c r="M141" s="223"/>
      <c r="N141" s="224"/>
      <c r="O141" s="223"/>
      <c r="P141" s="224"/>
      <c r="Q141" s="223"/>
      <c r="R141" s="224"/>
      <c r="S141" s="223"/>
      <c r="T141" s="224"/>
      <c r="U141" s="223"/>
      <c r="V141" s="224"/>
      <c r="W141" s="223"/>
      <c r="X141" s="224"/>
      <c r="Y141" s="223"/>
      <c r="Z141" s="224"/>
      <c r="AA141" s="224"/>
      <c r="AB141" s="223"/>
      <c r="AC141" s="243"/>
      <c r="AD141" s="243"/>
      <c r="AE141" s="243"/>
      <c r="AF141" s="255"/>
      <c r="AG141" s="243"/>
      <c r="AH141" s="1147"/>
      <c r="AI141" s="1213"/>
      <c r="AJ141" s="1355"/>
      <c r="AK141" s="1349"/>
    </row>
    <row r="142" spans="1:38" ht="15" customHeight="1">
      <c r="A142" s="340"/>
      <c r="B142" s="218" t="s">
        <v>15</v>
      </c>
      <c r="C142" s="217"/>
      <c r="D142" s="224"/>
      <c r="E142" s="218"/>
      <c r="F142" s="471"/>
      <c r="G142" s="218"/>
      <c r="H142" s="224"/>
      <c r="I142" s="218"/>
      <c r="J142" s="255"/>
      <c r="K142" s="218"/>
      <c r="L142" s="224"/>
      <c r="M142" s="218"/>
      <c r="N142" s="224"/>
      <c r="O142" s="218"/>
      <c r="P142" s="224"/>
      <c r="Q142" s="218"/>
      <c r="R142" s="224"/>
      <c r="S142" s="218"/>
      <c r="T142" s="224"/>
      <c r="U142" s="218"/>
      <c r="V142" s="224"/>
      <c r="W142" s="218"/>
      <c r="X142" s="224"/>
      <c r="Y142" s="218"/>
      <c r="Z142" s="224"/>
      <c r="AA142" s="224"/>
      <c r="AB142" s="218"/>
      <c r="AC142" s="243"/>
      <c r="AD142" s="254"/>
      <c r="AE142" s="254"/>
      <c r="AF142" s="255"/>
      <c r="AG142" s="243"/>
      <c r="AH142" s="1148"/>
      <c r="AI142" s="1213"/>
      <c r="AJ142" s="1355"/>
      <c r="AK142" s="1349"/>
    </row>
    <row r="143" spans="1:38" ht="15" customHeight="1">
      <c r="A143" s="340"/>
      <c r="B143" s="218"/>
      <c r="C143" s="217"/>
      <c r="D143" s="224"/>
      <c r="E143" s="218"/>
      <c r="F143" s="471"/>
      <c r="G143" s="218"/>
      <c r="H143" s="224"/>
      <c r="I143" s="218"/>
      <c r="J143" s="255"/>
      <c r="K143" s="218"/>
      <c r="L143" s="224"/>
      <c r="M143" s="218"/>
      <c r="N143" s="224"/>
      <c r="O143" s="218"/>
      <c r="P143" s="224"/>
      <c r="Q143" s="218"/>
      <c r="R143" s="224"/>
      <c r="S143" s="218"/>
      <c r="T143" s="224"/>
      <c r="U143" s="218"/>
      <c r="V143" s="224"/>
      <c r="W143" s="218"/>
      <c r="X143" s="224"/>
      <c r="Y143" s="218"/>
      <c r="Z143" s="224"/>
      <c r="AA143" s="224"/>
      <c r="AB143" s="218"/>
      <c r="AC143" s="243"/>
      <c r="AD143" s="254"/>
      <c r="AE143" s="254"/>
      <c r="AF143" s="255"/>
      <c r="AG143" s="243"/>
      <c r="AH143" s="1148"/>
      <c r="AI143" s="1213"/>
      <c r="AJ143" s="1355"/>
      <c r="AK143" s="1349"/>
    </row>
    <row r="144" spans="1:38" ht="15" customHeight="1">
      <c r="A144" s="438"/>
      <c r="B144" s="352"/>
      <c r="C144" s="472"/>
      <c r="D144" s="472"/>
      <c r="E144" s="473"/>
      <c r="F144" s="473"/>
      <c r="G144" s="473"/>
      <c r="H144" s="217"/>
      <c r="I144" s="217"/>
      <c r="J144" s="307"/>
      <c r="K144" s="217"/>
      <c r="L144" s="217"/>
      <c r="M144" s="217"/>
      <c r="N144" s="217"/>
      <c r="O144" s="217"/>
      <c r="P144" s="217"/>
      <c r="Q144" s="217"/>
      <c r="R144" s="217"/>
      <c r="S144" s="217"/>
      <c r="T144" s="217"/>
      <c r="U144" s="217"/>
      <c r="V144" s="217"/>
      <c r="W144" s="217"/>
      <c r="X144" s="217"/>
      <c r="Y144" s="217"/>
      <c r="Z144" s="217"/>
      <c r="AA144" s="217"/>
      <c r="AB144" s="217"/>
      <c r="AC144" s="254"/>
      <c r="AD144" s="254"/>
      <c r="AE144" s="254"/>
      <c r="AF144" s="307"/>
      <c r="AG144" s="254"/>
      <c r="AH144" s="1149"/>
      <c r="AI144" s="1042"/>
      <c r="AJ144" s="1608"/>
      <c r="AK144" s="1629"/>
    </row>
    <row r="145" spans="1:37" ht="14.1" customHeight="1">
      <c r="A145" s="438"/>
      <c r="B145" s="352"/>
      <c r="C145" s="472"/>
      <c r="D145" s="472"/>
      <c r="E145" s="473"/>
      <c r="F145" s="473"/>
      <c r="G145" s="473"/>
      <c r="H145" s="217"/>
      <c r="I145" s="217"/>
      <c r="J145" s="307"/>
      <c r="K145" s="217"/>
      <c r="L145" s="217"/>
      <c r="M145" s="217"/>
      <c r="N145" s="217"/>
      <c r="O145" s="217"/>
      <c r="P145" s="217"/>
      <c r="Q145" s="217"/>
      <c r="R145" s="217"/>
      <c r="S145" s="217"/>
      <c r="T145" s="217"/>
      <c r="U145" s="217"/>
      <c r="V145" s="217"/>
      <c r="W145" s="217"/>
      <c r="X145" s="217"/>
      <c r="Y145" s="217"/>
      <c r="Z145" s="217"/>
      <c r="AA145" s="217"/>
      <c r="AB145" s="217"/>
      <c r="AC145" s="254"/>
      <c r="AD145" s="254"/>
      <c r="AE145" s="254"/>
      <c r="AF145" s="307"/>
      <c r="AG145" s="254"/>
      <c r="AH145" s="1149"/>
      <c r="AI145" s="1042"/>
      <c r="AJ145" s="1608"/>
      <c r="AK145" s="1629"/>
    </row>
    <row r="146" spans="1:37" ht="15" customHeight="1">
      <c r="A146" s="438"/>
      <c r="B146" s="352"/>
      <c r="C146" s="472"/>
      <c r="D146" s="472"/>
      <c r="E146" s="473"/>
      <c r="F146" s="473"/>
      <c r="G146" s="473"/>
      <c r="H146" s="217"/>
      <c r="I146" s="217"/>
      <c r="J146" s="307"/>
      <c r="K146" s="217"/>
      <c r="L146" s="217"/>
      <c r="M146" s="217"/>
      <c r="N146" s="217"/>
      <c r="O146" s="217"/>
      <c r="P146" s="217"/>
      <c r="Q146" s="217"/>
      <c r="R146" s="217"/>
      <c r="S146" s="217"/>
      <c r="T146" s="217"/>
      <c r="U146" s="217"/>
      <c r="V146" s="217"/>
      <c r="W146" s="217"/>
      <c r="X146" s="217"/>
      <c r="Y146" s="217"/>
      <c r="Z146" s="217"/>
      <c r="AA146" s="217"/>
      <c r="AB146" s="217"/>
      <c r="AC146" s="254"/>
      <c r="AD146" s="254"/>
      <c r="AE146" s="254"/>
      <c r="AF146" s="307"/>
      <c r="AG146" s="254"/>
      <c r="AH146" s="1149"/>
      <c r="AI146" s="1042"/>
      <c r="AJ146" s="1608"/>
      <c r="AK146" s="1629"/>
    </row>
    <row r="147" spans="1:37" ht="15.75" customHeight="1">
      <c r="A147" s="438"/>
      <c r="B147" s="352"/>
      <c r="C147" s="472"/>
      <c r="D147" s="472"/>
      <c r="E147" s="473"/>
      <c r="F147" s="473"/>
      <c r="G147" s="473"/>
      <c r="H147" s="217"/>
      <c r="I147" s="217"/>
      <c r="J147" s="307"/>
      <c r="K147" s="217"/>
      <c r="L147" s="217"/>
      <c r="M147" s="217"/>
      <c r="N147" s="217"/>
      <c r="O147" s="217"/>
      <c r="P147" s="217"/>
      <c r="Q147" s="217"/>
      <c r="R147" s="217"/>
      <c r="S147" s="217"/>
      <c r="T147" s="217"/>
      <c r="U147" s="217"/>
      <c r="V147" s="217"/>
      <c r="W147" s="217"/>
      <c r="X147" s="217"/>
      <c r="Y147" s="217"/>
      <c r="Z147" s="217"/>
      <c r="AA147" s="217"/>
      <c r="AB147" s="217"/>
      <c r="AC147" s="254"/>
      <c r="AD147" s="254"/>
      <c r="AE147" s="254"/>
      <c r="AF147" s="307"/>
      <c r="AG147" s="254"/>
      <c r="AH147" s="1149"/>
      <c r="AI147" s="1042"/>
      <c r="AJ147" s="1608"/>
      <c r="AK147" s="1629"/>
    </row>
    <row r="148" spans="1:37" ht="14.25" customHeight="1">
      <c r="A148" s="438"/>
      <c r="B148" s="352"/>
      <c r="C148" s="472"/>
      <c r="D148" s="472"/>
      <c r="E148" s="473"/>
      <c r="F148" s="473"/>
      <c r="G148" s="473"/>
      <c r="H148" s="217"/>
      <c r="I148" s="217"/>
      <c r="J148" s="307"/>
      <c r="K148" s="217"/>
      <c r="L148" s="217"/>
      <c r="M148" s="217"/>
      <c r="N148" s="217"/>
      <c r="O148" s="217"/>
      <c r="P148" s="217"/>
      <c r="Q148" s="217"/>
      <c r="R148" s="217"/>
      <c r="S148" s="217"/>
      <c r="T148" s="217"/>
      <c r="U148" s="217"/>
      <c r="V148" s="217"/>
      <c r="W148" s="217"/>
      <c r="X148" s="217"/>
      <c r="Y148" s="217"/>
      <c r="Z148" s="217"/>
      <c r="AA148" s="217"/>
      <c r="AB148" s="217"/>
      <c r="AC148" s="254"/>
      <c r="AD148" s="254"/>
      <c r="AE148" s="254"/>
      <c r="AF148" s="307"/>
      <c r="AG148" s="254"/>
      <c r="AH148" s="1149"/>
      <c r="AI148" s="1042"/>
      <c r="AJ148" s="1608"/>
      <c r="AK148" s="1629"/>
    </row>
    <row r="149" spans="1:37" ht="14.25" customHeight="1">
      <c r="A149" s="438"/>
      <c r="B149" s="352"/>
      <c r="C149" s="472"/>
      <c r="D149" s="472"/>
      <c r="E149" s="473"/>
      <c r="F149" s="473"/>
      <c r="G149" s="473"/>
      <c r="H149" s="217"/>
      <c r="I149" s="217"/>
      <c r="J149" s="307"/>
      <c r="K149" s="217"/>
      <c r="L149" s="217"/>
      <c r="M149" s="217"/>
      <c r="N149" s="217"/>
      <c r="O149" s="217"/>
      <c r="P149" s="217"/>
      <c r="Q149" s="217"/>
      <c r="R149" s="217"/>
      <c r="S149" s="217"/>
      <c r="T149" s="217"/>
      <c r="U149" s="217"/>
      <c r="V149" s="217"/>
      <c r="W149" s="217"/>
      <c r="X149" s="217"/>
      <c r="Y149" s="217"/>
      <c r="Z149" s="217"/>
      <c r="AA149" s="217"/>
      <c r="AB149" s="217"/>
      <c r="AC149" s="254"/>
      <c r="AD149" s="254"/>
      <c r="AE149" s="254"/>
      <c r="AF149" s="307"/>
      <c r="AG149" s="254"/>
      <c r="AH149" s="1149"/>
      <c r="AI149" s="1042"/>
      <c r="AJ149" s="1608"/>
      <c r="AK149" s="1629"/>
    </row>
    <row r="150" spans="1:37" ht="14.25" customHeight="1">
      <c r="A150" s="438"/>
      <c r="B150" s="352"/>
      <c r="C150" s="472"/>
      <c r="D150" s="472"/>
      <c r="E150" s="473"/>
      <c r="F150" s="473"/>
      <c r="G150" s="473"/>
      <c r="H150" s="217"/>
      <c r="I150" s="217"/>
      <c r="J150" s="307"/>
      <c r="K150" s="217"/>
      <c r="L150" s="217"/>
      <c r="M150" s="217"/>
      <c r="N150" s="217"/>
      <c r="O150" s="217"/>
      <c r="P150" s="217"/>
      <c r="Q150" s="217"/>
      <c r="R150" s="217"/>
      <c r="S150" s="217"/>
      <c r="T150" s="217"/>
      <c r="U150" s="217"/>
      <c r="V150" s="217"/>
      <c r="W150" s="217"/>
      <c r="X150" s="217"/>
      <c r="Y150" s="217"/>
      <c r="Z150" s="217"/>
      <c r="AA150" s="217"/>
      <c r="AB150" s="217"/>
      <c r="AC150" s="254"/>
      <c r="AD150" s="254"/>
      <c r="AE150" s="254"/>
      <c r="AF150" s="307"/>
      <c r="AG150" s="254"/>
      <c r="AH150" s="1149"/>
      <c r="AI150" s="1042"/>
      <c r="AJ150" s="1608"/>
      <c r="AK150" s="1629"/>
    </row>
    <row r="151" spans="1:37" ht="14.25" customHeight="1">
      <c r="A151" s="438"/>
      <c r="B151" s="352"/>
      <c r="C151" s="472"/>
      <c r="D151" s="472"/>
      <c r="E151" s="473"/>
      <c r="F151" s="473"/>
      <c r="G151" s="473"/>
      <c r="H151" s="217"/>
      <c r="I151" s="217"/>
      <c r="J151" s="307"/>
      <c r="K151" s="217"/>
      <c r="L151" s="217"/>
      <c r="M151" s="217"/>
      <c r="N151" s="217"/>
      <c r="O151" s="217"/>
      <c r="P151" s="217"/>
      <c r="Q151" s="217"/>
      <c r="R151" s="217"/>
      <c r="S151" s="217"/>
      <c r="T151" s="217"/>
      <c r="U151" s="217"/>
      <c r="V151" s="217"/>
      <c r="W151" s="217"/>
      <c r="X151" s="217"/>
      <c r="Y151" s="217"/>
      <c r="Z151" s="217"/>
      <c r="AA151" s="217"/>
      <c r="AB151" s="217"/>
      <c r="AC151" s="254"/>
      <c r="AD151" s="254"/>
      <c r="AE151" s="254"/>
      <c r="AF151" s="307"/>
      <c r="AG151" s="254"/>
      <c r="AH151" s="1149"/>
      <c r="AI151" s="1042"/>
      <c r="AJ151" s="1608"/>
      <c r="AK151" s="1629"/>
    </row>
    <row r="152" spans="1:37" ht="14.25" customHeight="1">
      <c r="A152" s="438"/>
      <c r="B152" s="352"/>
      <c r="C152" s="472"/>
      <c r="D152" s="472"/>
      <c r="E152" s="473"/>
      <c r="F152" s="473"/>
      <c r="G152" s="473"/>
      <c r="H152" s="217"/>
      <c r="I152" s="217"/>
      <c r="J152" s="307"/>
      <c r="K152" s="217"/>
      <c r="L152" s="217"/>
      <c r="M152" s="217"/>
      <c r="N152" s="217"/>
      <c r="O152" s="217"/>
      <c r="P152" s="217"/>
      <c r="Q152" s="217"/>
      <c r="R152" s="217"/>
      <c r="S152" s="217"/>
      <c r="T152" s="217"/>
      <c r="U152" s="217"/>
      <c r="V152" s="217"/>
      <c r="W152" s="217"/>
      <c r="X152" s="217"/>
      <c r="Y152" s="217"/>
      <c r="Z152" s="217"/>
      <c r="AA152" s="217"/>
      <c r="AB152" s="217"/>
      <c r="AC152" s="254"/>
      <c r="AD152" s="254"/>
      <c r="AE152" s="254"/>
      <c r="AF152" s="307"/>
      <c r="AG152" s="254"/>
      <c r="AH152" s="1149"/>
      <c r="AI152" s="1042"/>
      <c r="AJ152" s="1608"/>
      <c r="AK152" s="1629"/>
    </row>
    <row r="153" spans="1:37" ht="14.25" customHeight="1">
      <c r="A153" s="438"/>
      <c r="B153" s="352"/>
      <c r="C153" s="472"/>
      <c r="D153" s="472"/>
      <c r="E153" s="473"/>
      <c r="F153" s="473"/>
      <c r="G153" s="473"/>
      <c r="H153" s="217"/>
      <c r="I153" s="217"/>
      <c r="J153" s="307"/>
      <c r="K153" s="217"/>
      <c r="L153" s="217"/>
      <c r="M153" s="217"/>
      <c r="N153" s="217"/>
      <c r="O153" s="217"/>
      <c r="P153" s="217"/>
      <c r="Q153" s="217"/>
      <c r="R153" s="217"/>
      <c r="S153" s="217"/>
      <c r="T153" s="217"/>
      <c r="U153" s="217"/>
      <c r="V153" s="217"/>
      <c r="W153" s="217"/>
      <c r="X153" s="217"/>
      <c r="Y153" s="217"/>
      <c r="Z153" s="217"/>
      <c r="AA153" s="217"/>
      <c r="AB153" s="217"/>
      <c r="AC153" s="254"/>
      <c r="AD153" s="254"/>
      <c r="AE153" s="254"/>
      <c r="AF153" s="307"/>
      <c r="AG153" s="254"/>
      <c r="AH153" s="1149"/>
      <c r="AI153" s="1042"/>
      <c r="AJ153" s="1608"/>
      <c r="AK153" s="1629"/>
    </row>
    <row r="154" spans="1:37" ht="14.25" customHeight="1">
      <c r="A154" s="438"/>
      <c r="B154" s="352"/>
      <c r="C154" s="472"/>
      <c r="D154" s="472"/>
      <c r="E154" s="473"/>
      <c r="F154" s="473"/>
      <c r="G154" s="473"/>
      <c r="H154" s="217"/>
      <c r="I154" s="217"/>
      <c r="J154" s="307"/>
      <c r="K154" s="217"/>
      <c r="L154" s="217"/>
      <c r="M154" s="217"/>
      <c r="N154" s="217"/>
      <c r="O154" s="217"/>
      <c r="P154" s="217"/>
      <c r="Q154" s="217"/>
      <c r="R154" s="217"/>
      <c r="S154" s="217"/>
      <c r="T154" s="217"/>
      <c r="U154" s="217"/>
      <c r="V154" s="217"/>
      <c r="W154" s="217"/>
      <c r="X154" s="217"/>
      <c r="Y154" s="217"/>
      <c r="Z154" s="217"/>
      <c r="AA154" s="217"/>
      <c r="AB154" s="217"/>
      <c r="AC154" s="254"/>
      <c r="AD154" s="254"/>
      <c r="AE154" s="254"/>
      <c r="AF154" s="307"/>
      <c r="AG154" s="254"/>
      <c r="AH154" s="1149"/>
      <c r="AI154" s="1042"/>
      <c r="AJ154" s="1608"/>
      <c r="AK154" s="1629"/>
    </row>
    <row r="155" spans="1:37" ht="14.25" customHeight="1">
      <c r="A155" s="438"/>
      <c r="B155" s="352"/>
      <c r="C155" s="472"/>
      <c r="D155" s="472"/>
      <c r="E155" s="473"/>
      <c r="F155" s="473"/>
      <c r="G155" s="473"/>
      <c r="H155" s="217"/>
      <c r="I155" s="217"/>
      <c r="J155" s="30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95"/>
      <c r="AG155" s="217"/>
      <c r="AH155" s="474"/>
      <c r="AI155" s="1583"/>
      <c r="AJ155" s="2278"/>
      <c r="AK155" s="1629"/>
    </row>
    <row r="156" spans="1:37" ht="14.25" customHeight="1">
      <c r="A156" s="438"/>
      <c r="B156" s="352"/>
      <c r="C156" s="472"/>
      <c r="D156" s="472"/>
      <c r="E156" s="473"/>
      <c r="F156" s="473"/>
      <c r="G156" s="473"/>
      <c r="H156" s="217"/>
      <c r="I156" s="217"/>
      <c r="J156" s="30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95"/>
      <c r="AG156" s="217"/>
      <c r="AH156" s="474"/>
      <c r="AI156" s="1583"/>
      <c r="AJ156" s="2278"/>
      <c r="AK156" s="1629"/>
    </row>
    <row r="157" spans="1:37" ht="14.25" customHeight="1">
      <c r="A157" s="438"/>
      <c r="B157" s="352"/>
      <c r="C157" s="472"/>
      <c r="D157" s="472"/>
      <c r="E157" s="473"/>
      <c r="F157" s="473"/>
      <c r="G157" s="473"/>
      <c r="H157" s="217"/>
      <c r="I157" s="217"/>
      <c r="J157" s="30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95"/>
      <c r="AG157" s="217"/>
      <c r="AH157" s="474"/>
      <c r="AI157" s="1583"/>
      <c r="AJ157" s="2278"/>
      <c r="AK157" s="1629"/>
    </row>
    <row r="158" spans="1:37" ht="14.25" customHeight="1">
      <c r="A158" s="438"/>
      <c r="B158" s="352"/>
      <c r="C158" s="472"/>
      <c r="D158" s="472"/>
      <c r="E158" s="473"/>
      <c r="F158" s="473"/>
      <c r="G158" s="473"/>
      <c r="H158" s="217"/>
      <c r="I158" s="217"/>
      <c r="J158" s="307"/>
      <c r="K158" s="217"/>
      <c r="L158" s="217"/>
      <c r="M158" s="217"/>
      <c r="N158" s="217"/>
      <c r="O158" s="217"/>
      <c r="P158" s="217"/>
      <c r="Q158" s="217"/>
      <c r="R158" s="217"/>
      <c r="S158" s="217"/>
      <c r="T158" s="217"/>
      <c r="U158" s="217"/>
      <c r="V158" s="217"/>
      <c r="W158" s="217"/>
      <c r="X158" s="217"/>
      <c r="Y158" s="217"/>
      <c r="Z158" s="217"/>
      <c r="AA158" s="217"/>
      <c r="AB158" s="217"/>
      <c r="AC158" s="217"/>
      <c r="AD158" s="217"/>
      <c r="AE158" s="217"/>
      <c r="AF158" s="295"/>
      <c r="AG158" s="217"/>
      <c r="AH158" s="474"/>
      <c r="AI158" s="1583"/>
      <c r="AJ158" s="2278"/>
      <c r="AK158" s="1629"/>
    </row>
    <row r="159" spans="1:37" ht="14.25" customHeight="1">
      <c r="A159" s="438"/>
      <c r="B159" s="352"/>
      <c r="C159" s="472"/>
      <c r="D159" s="472"/>
      <c r="E159" s="473"/>
      <c r="F159" s="473"/>
      <c r="G159" s="473"/>
      <c r="H159" s="217"/>
      <c r="I159" s="217"/>
      <c r="J159" s="307"/>
      <c r="K159" s="217"/>
      <c r="L159" s="217"/>
      <c r="M159" s="217"/>
      <c r="N159" s="217"/>
      <c r="O159" s="217"/>
      <c r="P159" s="217"/>
      <c r="Q159" s="217"/>
      <c r="R159" s="217"/>
      <c r="S159" s="217"/>
      <c r="T159" s="217"/>
      <c r="U159" s="217"/>
      <c r="V159" s="217"/>
      <c r="W159" s="217"/>
      <c r="X159" s="217"/>
      <c r="Y159" s="217"/>
      <c r="Z159" s="217"/>
      <c r="AA159" s="217"/>
      <c r="AB159" s="217"/>
      <c r="AC159" s="217"/>
      <c r="AD159" s="217"/>
      <c r="AE159" s="217"/>
      <c r="AF159" s="295"/>
      <c r="AG159" s="217"/>
      <c r="AH159" s="474"/>
      <c r="AI159" s="1583"/>
      <c r="AJ159" s="2278"/>
      <c r="AK159" s="1629"/>
    </row>
    <row r="160" spans="1:37" ht="14.25" customHeight="1">
      <c r="A160" s="438"/>
      <c r="B160" s="352"/>
      <c r="C160" s="472"/>
      <c r="D160" s="472"/>
      <c r="E160" s="473"/>
      <c r="F160" s="473"/>
      <c r="G160" s="473"/>
      <c r="H160" s="217"/>
      <c r="I160" s="217"/>
      <c r="J160" s="307"/>
      <c r="K160" s="217"/>
      <c r="L160" s="217"/>
      <c r="M160" s="217"/>
      <c r="N160" s="217"/>
      <c r="O160" s="217"/>
      <c r="P160" s="217"/>
      <c r="Q160" s="217"/>
      <c r="R160" s="217"/>
      <c r="S160" s="217"/>
      <c r="T160" s="217"/>
      <c r="U160" s="217"/>
      <c r="V160" s="217"/>
      <c r="W160" s="217"/>
      <c r="X160" s="217"/>
      <c r="Y160" s="217"/>
      <c r="Z160" s="217"/>
      <c r="AA160" s="217"/>
      <c r="AB160" s="217"/>
      <c r="AC160" s="217"/>
      <c r="AD160" s="217"/>
      <c r="AE160" s="217"/>
      <c r="AF160" s="295"/>
      <c r="AG160" s="217"/>
      <c r="AH160" s="474"/>
      <c r="AI160" s="1583"/>
      <c r="AJ160" s="2278"/>
      <c r="AK160" s="1629"/>
    </row>
    <row r="161" spans="1:38" ht="14.25" customHeight="1">
      <c r="A161" s="438"/>
      <c r="B161" s="352"/>
      <c r="C161" s="472"/>
      <c r="D161" s="472"/>
      <c r="E161" s="473"/>
      <c r="F161" s="473"/>
      <c r="G161" s="473"/>
      <c r="H161" s="217"/>
      <c r="I161" s="217"/>
      <c r="J161" s="307"/>
      <c r="K161" s="217"/>
      <c r="L161" s="217"/>
      <c r="M161" s="217"/>
      <c r="N161" s="217"/>
      <c r="O161" s="217"/>
      <c r="P161" s="217"/>
      <c r="Q161" s="217"/>
      <c r="R161" s="217"/>
      <c r="S161" s="217"/>
      <c r="T161" s="217"/>
      <c r="U161" s="217"/>
      <c r="V161" s="217"/>
      <c r="W161" s="217"/>
      <c r="X161" s="217"/>
      <c r="Y161" s="217"/>
      <c r="Z161" s="217"/>
      <c r="AA161" s="217"/>
      <c r="AB161" s="217"/>
      <c r="AC161" s="217"/>
      <c r="AD161" s="217"/>
      <c r="AE161" s="217"/>
      <c r="AF161" s="295"/>
      <c r="AG161" s="217"/>
      <c r="AH161" s="474"/>
      <c r="AI161" s="1583"/>
      <c r="AJ161" s="2278"/>
      <c r="AK161" s="1629"/>
    </row>
    <row r="162" spans="1:38" ht="14.25" customHeight="1">
      <c r="A162" s="438"/>
      <c r="B162" s="352"/>
      <c r="C162" s="472"/>
      <c r="D162" s="472"/>
      <c r="E162" s="473"/>
      <c r="F162" s="473"/>
      <c r="G162" s="473"/>
      <c r="H162" s="217"/>
      <c r="I162" s="217"/>
      <c r="J162" s="30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95"/>
      <c r="AG162" s="217"/>
      <c r="AH162" s="474"/>
      <c r="AI162" s="1583"/>
      <c r="AJ162" s="2278"/>
      <c r="AK162" s="1629"/>
    </row>
    <row r="163" spans="1:38" ht="14.25" customHeight="1">
      <c r="A163" s="438"/>
      <c r="B163" s="352"/>
      <c r="C163" s="472"/>
      <c r="D163" s="472"/>
      <c r="E163" s="473"/>
      <c r="F163" s="473"/>
      <c r="G163" s="473"/>
      <c r="H163" s="217"/>
      <c r="I163" s="217"/>
      <c r="J163" s="30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95"/>
      <c r="AG163" s="217"/>
      <c r="AH163" s="474"/>
      <c r="AI163" s="1583"/>
      <c r="AJ163" s="2278"/>
      <c r="AK163" s="1629"/>
    </row>
    <row r="164" spans="1:38" ht="20.100000000000001" customHeight="1">
      <c r="A164" s="438"/>
      <c r="B164" s="241"/>
      <c r="C164" s="217"/>
      <c r="D164" s="217"/>
      <c r="E164" s="217"/>
      <c r="F164" s="217"/>
      <c r="G164" s="217"/>
      <c r="H164" s="217"/>
      <c r="I164" s="217"/>
      <c r="J164" s="30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95"/>
      <c r="AG164" s="217"/>
      <c r="AH164" s="474"/>
      <c r="AI164" s="1583"/>
      <c r="AJ164" s="2278"/>
      <c r="AK164" s="1629"/>
    </row>
    <row r="165" spans="1:38" ht="20.100000000000001" customHeight="1">
      <c r="A165" s="438"/>
      <c r="B165" s="241"/>
      <c r="C165" s="217"/>
      <c r="D165" s="217"/>
      <c r="E165" s="217"/>
      <c r="F165" s="217"/>
      <c r="G165" s="217"/>
      <c r="H165" s="217"/>
      <c r="I165" s="217"/>
      <c r="J165" s="30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95"/>
      <c r="AG165" s="217"/>
      <c r="AH165" s="474"/>
      <c r="AI165" s="1583"/>
      <c r="AJ165" s="2278"/>
      <c r="AK165" s="1629"/>
      <c r="AL165" s="217"/>
    </row>
    <row r="166" spans="1:38" ht="20.100000000000001" customHeight="1">
      <c r="A166" s="438"/>
      <c r="B166" s="241"/>
      <c r="C166" s="217"/>
      <c r="D166" s="217"/>
      <c r="E166" s="217"/>
      <c r="F166" s="217"/>
      <c r="G166" s="217"/>
      <c r="H166" s="217"/>
      <c r="I166" s="217"/>
      <c r="J166" s="30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95"/>
      <c r="AG166" s="217"/>
      <c r="AH166" s="474"/>
      <c r="AI166" s="1583"/>
      <c r="AJ166" s="2278"/>
      <c r="AK166" s="1629"/>
      <c r="AL166" s="217"/>
    </row>
    <row r="167" spans="1:38" ht="20.100000000000001" customHeight="1">
      <c r="B167" s="241"/>
      <c r="C167" s="217"/>
      <c r="D167" s="217"/>
      <c r="E167" s="217"/>
      <c r="F167" s="217"/>
      <c r="G167" s="217"/>
      <c r="H167" s="217"/>
      <c r="I167" s="217"/>
      <c r="J167" s="30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95"/>
      <c r="AG167" s="217"/>
      <c r="AH167" s="217"/>
      <c r="AI167" s="1583"/>
      <c r="AJ167" s="2278"/>
      <c r="AK167" s="1629"/>
      <c r="AL167" s="217"/>
    </row>
    <row r="168" spans="1:38" ht="20.100000000000001" customHeight="1">
      <c r="B168" s="217"/>
      <c r="C168" s="217"/>
      <c r="D168" s="217"/>
      <c r="E168" s="217"/>
      <c r="F168" s="217"/>
      <c r="G168" s="217"/>
      <c r="H168" s="217"/>
      <c r="I168" s="217"/>
      <c r="J168" s="30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95"/>
      <c r="AG168" s="217"/>
      <c r="AH168" s="217"/>
      <c r="AI168" s="1583"/>
      <c r="AJ168" s="2278"/>
      <c r="AK168" s="1629"/>
      <c r="AL168" s="217"/>
    </row>
    <row r="169" spans="1:38" ht="20.100000000000001" customHeight="1">
      <c r="B169" s="476"/>
      <c r="C169" s="217"/>
      <c r="D169" s="217"/>
      <c r="E169" s="217"/>
      <c r="F169" s="217"/>
      <c r="G169" s="217"/>
      <c r="H169" s="217"/>
      <c r="I169" s="217"/>
      <c r="J169" s="307"/>
      <c r="K169" s="217"/>
      <c r="L169" s="217"/>
      <c r="M169" s="217"/>
      <c r="N169" s="217"/>
      <c r="O169" s="217"/>
      <c r="P169" s="217"/>
      <c r="Q169" s="217"/>
      <c r="R169" s="217"/>
      <c r="S169" s="217"/>
      <c r="T169" s="217"/>
      <c r="U169" s="217"/>
      <c r="V169" s="217"/>
      <c r="W169" s="217"/>
      <c r="X169" s="217"/>
      <c r="Y169" s="217"/>
      <c r="Z169" s="217"/>
      <c r="AA169" s="217"/>
      <c r="AB169" s="217"/>
      <c r="AC169" s="217"/>
      <c r="AD169" s="217"/>
      <c r="AE169" s="217"/>
      <c r="AF169" s="295"/>
      <c r="AG169" s="217"/>
      <c r="AI169" s="439"/>
      <c r="AJ169" s="1781"/>
      <c r="AK169" s="1349"/>
      <c r="AL169" s="217"/>
    </row>
    <row r="170" spans="1:38" ht="20.100000000000001" customHeight="1">
      <c r="B170" s="217"/>
      <c r="C170" s="217"/>
      <c r="D170" s="217"/>
      <c r="E170" s="217"/>
      <c r="F170" s="217"/>
      <c r="G170" s="217"/>
      <c r="H170" s="217"/>
      <c r="I170" s="217"/>
      <c r="J170" s="30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95"/>
      <c r="AG170" s="217"/>
      <c r="AI170" s="439"/>
      <c r="AJ170" s="1781"/>
      <c r="AK170" s="1349"/>
      <c r="AL170" s="217"/>
    </row>
    <row r="171" spans="1:38" ht="20.100000000000001" customHeight="1">
      <c r="B171" s="217"/>
      <c r="C171" s="217"/>
      <c r="D171" s="217"/>
      <c r="E171" s="217"/>
      <c r="F171" s="217"/>
      <c r="G171" s="217"/>
      <c r="H171" s="217"/>
      <c r="I171" s="217"/>
      <c r="J171" s="30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95"/>
      <c r="AG171" s="217"/>
      <c r="AI171" s="439"/>
      <c r="AJ171" s="1781"/>
      <c r="AK171" s="1349"/>
      <c r="AL171" s="217"/>
    </row>
    <row r="172" spans="1:38" ht="20.100000000000001" customHeight="1">
      <c r="B172" s="439"/>
      <c r="C172" s="439"/>
      <c r="D172" s="439"/>
      <c r="E172" s="439"/>
      <c r="F172" s="439"/>
      <c r="G172" s="439"/>
      <c r="H172" s="439"/>
      <c r="I172" s="439"/>
      <c r="J172" s="1822"/>
      <c r="K172" s="439"/>
      <c r="L172" s="439"/>
      <c r="M172" s="439"/>
      <c r="N172" s="439"/>
      <c r="O172" s="439"/>
      <c r="P172" s="439"/>
      <c r="Q172" s="439"/>
      <c r="R172" s="439"/>
      <c r="S172" s="439"/>
      <c r="T172" s="439"/>
      <c r="U172" s="439"/>
      <c r="V172" s="439"/>
      <c r="W172" s="439"/>
      <c r="X172" s="439"/>
      <c r="Y172" s="439"/>
      <c r="Z172" s="439"/>
      <c r="AA172" s="439"/>
      <c r="AB172" s="439"/>
      <c r="AC172" s="439"/>
      <c r="AD172" s="439"/>
      <c r="AE172" s="439"/>
      <c r="AF172" s="1536"/>
      <c r="AG172" s="439"/>
      <c r="AI172" s="439"/>
      <c r="AJ172" s="1781"/>
      <c r="AK172" s="1349"/>
      <c r="AL172" s="217"/>
    </row>
    <row r="173" spans="1:38" ht="20.100000000000001" customHeight="1">
      <c r="B173" s="439"/>
      <c r="C173" s="439"/>
      <c r="D173" s="439"/>
      <c r="E173" s="439"/>
      <c r="F173" s="439"/>
      <c r="G173" s="439"/>
      <c r="H173" s="439"/>
      <c r="I173" s="439"/>
      <c r="J173" s="1822"/>
      <c r="K173" s="439"/>
      <c r="L173" s="439"/>
      <c r="M173" s="439"/>
      <c r="N173" s="439"/>
      <c r="O173" s="439"/>
      <c r="P173" s="439"/>
      <c r="Q173" s="439"/>
      <c r="R173" s="439"/>
      <c r="S173" s="439"/>
      <c r="T173" s="439"/>
      <c r="U173" s="439"/>
      <c r="V173" s="439"/>
      <c r="W173" s="439"/>
      <c r="X173" s="439"/>
      <c r="Y173" s="439"/>
      <c r="Z173" s="439"/>
      <c r="AA173" s="439"/>
      <c r="AB173" s="439"/>
      <c r="AC173" s="439"/>
      <c r="AD173" s="439"/>
      <c r="AE173" s="439"/>
      <c r="AF173" s="1536"/>
      <c r="AG173" s="439"/>
    </row>
    <row r="174" spans="1:38" ht="20.100000000000001" customHeight="1">
      <c r="B174" s="439"/>
      <c r="C174" s="439"/>
      <c r="D174" s="439"/>
      <c r="E174" s="439"/>
      <c r="F174" s="439"/>
      <c r="G174" s="439"/>
      <c r="H174" s="439"/>
      <c r="I174" s="439"/>
      <c r="J174" s="1822"/>
      <c r="K174" s="439"/>
      <c r="L174" s="439"/>
      <c r="M174" s="439"/>
      <c r="N174" s="439"/>
      <c r="O174" s="439"/>
      <c r="P174" s="439"/>
      <c r="Q174" s="439"/>
      <c r="R174" s="439"/>
      <c r="S174" s="439"/>
      <c r="T174" s="439"/>
      <c r="U174" s="439"/>
      <c r="V174" s="439"/>
      <c r="W174" s="439"/>
      <c r="X174" s="439"/>
      <c r="Y174" s="439"/>
      <c r="Z174" s="439"/>
      <c r="AA174" s="439"/>
      <c r="AB174" s="439"/>
      <c r="AC174" s="439"/>
      <c r="AD174" s="439"/>
      <c r="AE174" s="439"/>
      <c r="AF174" s="1536"/>
      <c r="AG174" s="439"/>
    </row>
    <row r="175" spans="1:38" ht="20.100000000000001" customHeight="1">
      <c r="B175" s="439"/>
      <c r="C175" s="439"/>
      <c r="D175" s="439"/>
      <c r="E175" s="439"/>
      <c r="F175" s="439"/>
      <c r="G175" s="439"/>
      <c r="H175" s="439"/>
      <c r="I175" s="439"/>
      <c r="J175" s="1822"/>
      <c r="K175" s="439"/>
      <c r="L175" s="439"/>
      <c r="M175" s="439"/>
      <c r="N175" s="439"/>
      <c r="O175" s="439"/>
      <c r="P175" s="439"/>
      <c r="Q175" s="439"/>
      <c r="R175" s="439"/>
      <c r="S175" s="439"/>
      <c r="T175" s="439"/>
      <c r="U175" s="439"/>
      <c r="V175" s="439"/>
      <c r="W175" s="439"/>
      <c r="X175" s="439"/>
      <c r="Y175" s="439"/>
      <c r="Z175" s="439"/>
      <c r="AA175" s="439"/>
      <c r="AB175" s="439"/>
      <c r="AC175" s="439"/>
      <c r="AD175" s="439"/>
      <c r="AE175" s="439"/>
      <c r="AF175" s="1536"/>
      <c r="AG175" s="439"/>
    </row>
    <row r="176" spans="1:38" ht="20.100000000000001" customHeight="1">
      <c r="B176" s="439"/>
      <c r="C176" s="439"/>
      <c r="D176" s="439"/>
      <c r="E176" s="439"/>
      <c r="F176" s="439"/>
      <c r="G176" s="439"/>
      <c r="H176" s="439"/>
      <c r="I176" s="439"/>
      <c r="J176" s="1822"/>
      <c r="K176" s="439"/>
      <c r="L176" s="439"/>
      <c r="M176" s="439"/>
      <c r="N176" s="439"/>
      <c r="O176" s="439"/>
      <c r="P176" s="439"/>
      <c r="Q176" s="439"/>
      <c r="R176" s="439"/>
      <c r="S176" s="439"/>
      <c r="T176" s="439"/>
      <c r="U176" s="439"/>
      <c r="V176" s="439"/>
      <c r="W176" s="439"/>
      <c r="X176" s="439"/>
      <c r="Y176" s="439"/>
      <c r="Z176" s="439"/>
      <c r="AA176" s="439"/>
      <c r="AB176" s="439"/>
      <c r="AC176" s="439"/>
      <c r="AD176" s="439"/>
      <c r="AE176" s="439"/>
      <c r="AF176" s="1536"/>
      <c r="AG176" s="439"/>
    </row>
    <row r="177" spans="2:33">
      <c r="B177" s="439"/>
      <c r="C177" s="439"/>
      <c r="D177" s="439"/>
      <c r="E177" s="439"/>
      <c r="F177" s="439"/>
      <c r="G177" s="439"/>
      <c r="H177" s="439"/>
      <c r="I177" s="439"/>
      <c r="J177" s="1822"/>
      <c r="K177" s="439"/>
      <c r="L177" s="439"/>
      <c r="M177" s="439"/>
      <c r="N177" s="439"/>
      <c r="O177" s="439"/>
      <c r="P177" s="439"/>
      <c r="Q177" s="439"/>
      <c r="R177" s="439"/>
      <c r="S177" s="439"/>
      <c r="T177" s="439"/>
      <c r="U177" s="439"/>
      <c r="V177" s="439"/>
      <c r="W177" s="439"/>
      <c r="X177" s="439"/>
      <c r="Y177" s="439"/>
      <c r="Z177" s="439"/>
      <c r="AA177" s="439"/>
      <c r="AB177" s="439"/>
      <c r="AC177" s="439"/>
      <c r="AD177" s="439"/>
      <c r="AE177" s="439"/>
      <c r="AF177" s="1536"/>
      <c r="AG177" s="439"/>
    </row>
    <row r="178" spans="2:33">
      <c r="B178" s="439"/>
      <c r="C178" s="439"/>
      <c r="D178" s="439"/>
      <c r="E178" s="439"/>
      <c r="F178" s="439"/>
      <c r="G178" s="439"/>
      <c r="H178" s="439"/>
      <c r="I178" s="439"/>
      <c r="J178" s="1822"/>
      <c r="K178" s="439"/>
      <c r="L178" s="439"/>
      <c r="M178" s="439"/>
      <c r="N178" s="439"/>
      <c r="O178" s="439"/>
      <c r="P178" s="439"/>
      <c r="Q178" s="439"/>
      <c r="R178" s="439"/>
      <c r="S178" s="439"/>
      <c r="T178" s="439"/>
      <c r="U178" s="439"/>
      <c r="V178" s="439"/>
      <c r="W178" s="439"/>
      <c r="X178" s="439"/>
      <c r="Y178" s="439"/>
      <c r="Z178" s="439"/>
      <c r="AA178" s="439"/>
      <c r="AB178" s="439"/>
      <c r="AC178" s="439"/>
      <c r="AD178" s="439"/>
      <c r="AE178" s="439"/>
      <c r="AF178" s="1536"/>
      <c r="AG178" s="439"/>
    </row>
    <row r="179" spans="2:33">
      <c r="B179" s="439"/>
      <c r="C179" s="439"/>
      <c r="D179" s="439"/>
      <c r="E179" s="439"/>
      <c r="F179" s="439"/>
      <c r="G179" s="439"/>
      <c r="H179" s="439"/>
      <c r="I179" s="439"/>
      <c r="J179" s="1822"/>
      <c r="K179" s="439"/>
      <c r="L179" s="439"/>
      <c r="M179" s="439"/>
      <c r="N179" s="439"/>
      <c r="O179" s="439"/>
      <c r="P179" s="439"/>
      <c r="Q179" s="439"/>
      <c r="R179" s="439"/>
      <c r="S179" s="439"/>
      <c r="T179" s="439"/>
      <c r="U179" s="439"/>
      <c r="V179" s="439"/>
      <c r="W179" s="439"/>
      <c r="X179" s="439"/>
      <c r="Y179" s="439"/>
      <c r="Z179" s="439"/>
      <c r="AA179" s="439"/>
      <c r="AB179" s="439"/>
      <c r="AC179" s="439"/>
      <c r="AD179" s="439"/>
      <c r="AE179" s="439"/>
      <c r="AF179" s="1536"/>
      <c r="AG179" s="439"/>
    </row>
    <row r="180" spans="2:33">
      <c r="B180" s="439"/>
      <c r="C180" s="439"/>
      <c r="D180" s="439"/>
      <c r="E180" s="439"/>
      <c r="F180" s="439"/>
      <c r="G180" s="439"/>
      <c r="H180" s="439"/>
      <c r="I180" s="439"/>
      <c r="J180" s="1822"/>
      <c r="K180" s="439"/>
      <c r="L180" s="439"/>
      <c r="M180" s="439"/>
      <c r="N180" s="439"/>
      <c r="O180" s="439"/>
      <c r="P180" s="439"/>
      <c r="Q180" s="439"/>
      <c r="R180" s="439"/>
      <c r="S180" s="439"/>
      <c r="T180" s="439"/>
      <c r="U180" s="439"/>
      <c r="V180" s="439"/>
      <c r="W180" s="439"/>
      <c r="X180" s="439"/>
      <c r="Y180" s="439"/>
      <c r="Z180" s="439"/>
      <c r="AA180" s="439"/>
      <c r="AB180" s="439"/>
      <c r="AC180" s="439"/>
      <c r="AD180" s="439"/>
      <c r="AE180" s="439"/>
      <c r="AF180" s="1536"/>
      <c r="AG180" s="439"/>
    </row>
    <row r="181" spans="2:33">
      <c r="B181" s="439"/>
      <c r="C181" s="439"/>
      <c r="D181" s="439"/>
      <c r="E181" s="439"/>
      <c r="F181" s="439"/>
      <c r="G181" s="439"/>
      <c r="H181" s="439"/>
      <c r="I181" s="439"/>
      <c r="J181" s="1822"/>
      <c r="K181" s="439"/>
      <c r="L181" s="439"/>
      <c r="M181" s="439"/>
      <c r="N181" s="439"/>
      <c r="O181" s="439"/>
      <c r="P181" s="439"/>
      <c r="Q181" s="439"/>
      <c r="R181" s="439"/>
      <c r="S181" s="439"/>
      <c r="T181" s="439"/>
      <c r="U181" s="439"/>
      <c r="V181" s="439"/>
      <c r="W181" s="439"/>
      <c r="X181" s="439"/>
      <c r="Y181" s="439"/>
      <c r="Z181" s="439"/>
      <c r="AA181" s="439"/>
      <c r="AB181" s="439"/>
      <c r="AC181" s="439"/>
      <c r="AD181" s="439"/>
      <c r="AE181" s="439"/>
      <c r="AF181" s="1536"/>
      <c r="AG181" s="439"/>
    </row>
    <row r="182" spans="2:33">
      <c r="B182" s="439"/>
      <c r="C182" s="439"/>
      <c r="D182" s="439"/>
      <c r="E182" s="439"/>
      <c r="F182" s="439"/>
      <c r="G182" s="439"/>
      <c r="H182" s="439"/>
      <c r="I182" s="439"/>
      <c r="J182" s="1822"/>
      <c r="K182" s="439"/>
      <c r="L182" s="439"/>
      <c r="M182" s="439"/>
      <c r="N182" s="439"/>
      <c r="O182" s="439"/>
      <c r="P182" s="439"/>
      <c r="Q182" s="439"/>
      <c r="R182" s="439"/>
      <c r="S182" s="439"/>
      <c r="T182" s="439"/>
      <c r="U182" s="439"/>
      <c r="V182" s="439"/>
      <c r="W182" s="439"/>
      <c r="X182" s="439"/>
      <c r="Y182" s="439"/>
      <c r="Z182" s="439"/>
      <c r="AA182" s="439"/>
      <c r="AB182" s="439"/>
      <c r="AC182" s="439"/>
      <c r="AD182" s="439"/>
      <c r="AE182" s="439"/>
      <c r="AF182" s="1536"/>
      <c r="AG182" s="439"/>
    </row>
    <row r="183" spans="2:33">
      <c r="B183" s="439"/>
      <c r="C183" s="439"/>
      <c r="D183" s="439"/>
      <c r="E183" s="439"/>
      <c r="F183" s="439"/>
      <c r="G183" s="439"/>
      <c r="H183" s="439"/>
      <c r="I183" s="439"/>
      <c r="J183" s="1822"/>
      <c r="K183" s="439"/>
      <c r="L183" s="439"/>
      <c r="M183" s="439"/>
      <c r="N183" s="439"/>
      <c r="O183" s="439"/>
      <c r="P183" s="439"/>
      <c r="Q183" s="439"/>
      <c r="R183" s="439"/>
      <c r="S183" s="439"/>
      <c r="T183" s="439"/>
      <c r="U183" s="439"/>
      <c r="V183" s="439"/>
      <c r="W183" s="439"/>
      <c r="X183" s="439"/>
      <c r="Y183" s="439"/>
      <c r="Z183" s="439"/>
      <c r="AA183" s="439"/>
      <c r="AB183" s="439"/>
      <c r="AC183" s="439"/>
      <c r="AD183" s="439"/>
      <c r="AE183" s="439"/>
      <c r="AF183" s="1536"/>
      <c r="AG183" s="439"/>
    </row>
    <row r="184" spans="2:33">
      <c r="B184" s="439"/>
      <c r="C184" s="439"/>
      <c r="D184" s="439"/>
      <c r="E184" s="439"/>
      <c r="F184" s="439"/>
      <c r="G184" s="439"/>
      <c r="H184" s="439"/>
      <c r="I184" s="439"/>
      <c r="J184" s="1822"/>
      <c r="K184" s="439"/>
      <c r="L184" s="439"/>
      <c r="M184" s="439"/>
      <c r="N184" s="439"/>
      <c r="O184" s="439"/>
      <c r="P184" s="439"/>
      <c r="Q184" s="439"/>
      <c r="R184" s="439"/>
      <c r="S184" s="439"/>
      <c r="T184" s="439"/>
      <c r="U184" s="439"/>
      <c r="V184" s="439"/>
      <c r="W184" s="439"/>
      <c r="X184" s="439"/>
      <c r="Y184" s="439"/>
      <c r="Z184" s="439"/>
      <c r="AA184" s="439"/>
      <c r="AB184" s="439"/>
      <c r="AC184" s="439"/>
      <c r="AD184" s="439"/>
      <c r="AE184" s="439"/>
      <c r="AF184" s="1536"/>
      <c r="AG184" s="439"/>
    </row>
    <row r="185" spans="2:33">
      <c r="B185" s="439"/>
      <c r="C185" s="439"/>
      <c r="D185" s="439"/>
      <c r="E185" s="439"/>
      <c r="F185" s="439"/>
      <c r="G185" s="439"/>
      <c r="H185" s="439"/>
      <c r="I185" s="439"/>
      <c r="J185" s="1822"/>
      <c r="K185" s="439"/>
      <c r="L185" s="439"/>
      <c r="M185" s="439"/>
      <c r="N185" s="439"/>
      <c r="O185" s="439"/>
      <c r="P185" s="439"/>
      <c r="Q185" s="439"/>
      <c r="R185" s="439"/>
      <c r="S185" s="439"/>
      <c r="T185" s="439"/>
      <c r="U185" s="439"/>
      <c r="V185" s="439"/>
      <c r="W185" s="439"/>
      <c r="X185" s="439"/>
      <c r="Y185" s="439"/>
      <c r="Z185" s="439"/>
      <c r="AA185" s="439"/>
      <c r="AB185" s="439"/>
      <c r="AC185" s="439"/>
      <c r="AD185" s="439"/>
      <c r="AE185" s="439"/>
      <c r="AF185" s="1536"/>
      <c r="AG185" s="439"/>
    </row>
    <row r="186" spans="2:33">
      <c r="B186" s="439"/>
      <c r="C186" s="439"/>
      <c r="D186" s="439"/>
      <c r="E186" s="439"/>
      <c r="F186" s="439"/>
      <c r="G186" s="439"/>
      <c r="H186" s="439"/>
      <c r="I186" s="439"/>
      <c r="J186" s="1822"/>
      <c r="K186" s="439"/>
      <c r="L186" s="439"/>
      <c r="M186" s="439"/>
      <c r="N186" s="439"/>
      <c r="O186" s="439"/>
      <c r="P186" s="439"/>
      <c r="Q186" s="439"/>
      <c r="R186" s="439"/>
      <c r="S186" s="439"/>
      <c r="T186" s="439"/>
      <c r="U186" s="439"/>
      <c r="V186" s="439"/>
      <c r="W186" s="439"/>
      <c r="X186" s="439"/>
      <c r="Y186" s="439"/>
      <c r="Z186" s="439"/>
      <c r="AA186" s="439"/>
      <c r="AB186" s="439"/>
      <c r="AC186" s="439"/>
      <c r="AD186" s="439"/>
      <c r="AE186" s="439"/>
      <c r="AF186" s="1536"/>
      <c r="AG186" s="439"/>
    </row>
    <row r="187" spans="2:33">
      <c r="B187" s="439"/>
      <c r="C187" s="439"/>
      <c r="D187" s="439"/>
      <c r="E187" s="439"/>
      <c r="F187" s="439"/>
      <c r="G187" s="439"/>
      <c r="H187" s="439"/>
      <c r="I187" s="439"/>
      <c r="J187" s="1822"/>
      <c r="K187" s="439"/>
      <c r="L187" s="439"/>
      <c r="M187" s="439"/>
      <c r="N187" s="439"/>
      <c r="O187" s="439"/>
      <c r="P187" s="439"/>
      <c r="Q187" s="439"/>
      <c r="R187" s="439"/>
      <c r="S187" s="439"/>
      <c r="T187" s="439"/>
      <c r="U187" s="439"/>
      <c r="V187" s="439"/>
      <c r="W187" s="439"/>
      <c r="X187" s="439"/>
      <c r="Y187" s="439"/>
      <c r="Z187" s="439"/>
      <c r="AA187" s="439"/>
      <c r="AB187" s="439"/>
      <c r="AC187" s="439"/>
      <c r="AD187" s="439"/>
      <c r="AE187" s="439"/>
      <c r="AF187" s="1536"/>
      <c r="AG187" s="439"/>
    </row>
    <row r="188" spans="2:33">
      <c r="B188" s="439"/>
      <c r="C188" s="439"/>
      <c r="D188" s="439"/>
      <c r="E188" s="439"/>
      <c r="F188" s="439"/>
      <c r="G188" s="439"/>
      <c r="H188" s="439"/>
      <c r="I188" s="439"/>
      <c r="J188" s="1822"/>
      <c r="K188" s="439"/>
      <c r="L188" s="439"/>
      <c r="M188" s="439"/>
      <c r="N188" s="439"/>
      <c r="O188" s="439"/>
      <c r="P188" s="439"/>
      <c r="Q188" s="439"/>
      <c r="R188" s="439"/>
      <c r="S188" s="439"/>
      <c r="T188" s="439"/>
      <c r="U188" s="439"/>
      <c r="V188" s="439"/>
      <c r="W188" s="439"/>
      <c r="X188" s="439"/>
      <c r="Y188" s="439"/>
      <c r="Z188" s="439"/>
      <c r="AA188" s="439"/>
      <c r="AB188" s="439"/>
      <c r="AC188" s="439"/>
      <c r="AD188" s="439"/>
      <c r="AE188" s="439"/>
      <c r="AF188" s="1536"/>
      <c r="AG188" s="439"/>
    </row>
    <row r="189" spans="2:33">
      <c r="B189" s="439"/>
      <c r="C189" s="439"/>
      <c r="D189" s="439"/>
      <c r="E189" s="439"/>
      <c r="F189" s="439"/>
      <c r="G189" s="439"/>
      <c r="H189" s="439"/>
      <c r="I189" s="439"/>
      <c r="J189" s="1822"/>
      <c r="K189" s="439"/>
      <c r="L189" s="439"/>
      <c r="M189" s="439"/>
      <c r="N189" s="439"/>
      <c r="O189" s="439"/>
      <c r="P189" s="439"/>
      <c r="Q189" s="439"/>
      <c r="R189" s="439"/>
      <c r="S189" s="439"/>
      <c r="T189" s="439"/>
      <c r="U189" s="439"/>
      <c r="V189" s="439"/>
      <c r="W189" s="439"/>
      <c r="X189" s="439"/>
      <c r="Y189" s="439"/>
      <c r="Z189" s="439"/>
      <c r="AA189" s="439"/>
      <c r="AB189" s="439"/>
      <c r="AC189" s="439"/>
      <c r="AD189" s="439"/>
      <c r="AE189" s="439"/>
      <c r="AF189" s="1536"/>
      <c r="AG189" s="439"/>
    </row>
    <row r="190" spans="2:33">
      <c r="B190" s="439"/>
      <c r="C190" s="439"/>
      <c r="D190" s="439"/>
      <c r="E190" s="439"/>
      <c r="F190" s="439"/>
      <c r="G190" s="439"/>
      <c r="H190" s="439"/>
      <c r="I190" s="439"/>
      <c r="J190" s="1822"/>
      <c r="K190" s="439"/>
      <c r="L190" s="439"/>
      <c r="M190" s="439"/>
      <c r="N190" s="439"/>
      <c r="O190" s="439"/>
      <c r="P190" s="439"/>
      <c r="Q190" s="439"/>
      <c r="R190" s="439"/>
      <c r="S190" s="439"/>
      <c r="T190" s="439"/>
      <c r="U190" s="439"/>
      <c r="V190" s="439"/>
      <c r="W190" s="439"/>
      <c r="X190" s="439"/>
      <c r="Y190" s="439"/>
      <c r="Z190" s="439"/>
      <c r="AA190" s="439"/>
      <c r="AB190" s="439"/>
      <c r="AC190" s="439"/>
      <c r="AD190" s="439"/>
      <c r="AE190" s="439"/>
      <c r="AF190" s="1536"/>
      <c r="AG190" s="439"/>
    </row>
    <row r="191" spans="2:33">
      <c r="B191" s="439"/>
      <c r="C191" s="439"/>
      <c r="D191" s="439"/>
      <c r="E191" s="439"/>
      <c r="F191" s="439"/>
      <c r="G191" s="439"/>
      <c r="H191" s="439"/>
      <c r="I191" s="439"/>
      <c r="J191" s="1822"/>
      <c r="K191" s="439"/>
      <c r="L191" s="439"/>
      <c r="M191" s="439"/>
      <c r="N191" s="439"/>
      <c r="O191" s="439"/>
      <c r="P191" s="439"/>
      <c r="Q191" s="439"/>
      <c r="R191" s="439"/>
      <c r="S191" s="439"/>
      <c r="T191" s="439"/>
      <c r="U191" s="439"/>
      <c r="V191" s="439"/>
      <c r="W191" s="439"/>
      <c r="X191" s="439"/>
      <c r="Y191" s="439"/>
      <c r="Z191" s="439"/>
      <c r="AA191" s="439"/>
      <c r="AB191" s="439"/>
      <c r="AC191" s="439"/>
      <c r="AD191" s="439"/>
      <c r="AE191" s="439"/>
      <c r="AF191" s="1536"/>
      <c r="AG191" s="439"/>
    </row>
    <row r="192" spans="2:33">
      <c r="B192" s="439"/>
      <c r="C192" s="439"/>
      <c r="D192" s="439"/>
      <c r="E192" s="439"/>
      <c r="F192" s="439"/>
      <c r="G192" s="439"/>
      <c r="H192" s="439"/>
      <c r="I192" s="439"/>
      <c r="J192" s="1822"/>
      <c r="K192" s="439"/>
      <c r="L192" s="439"/>
      <c r="M192" s="439"/>
      <c r="N192" s="439"/>
      <c r="O192" s="439"/>
      <c r="P192" s="439"/>
      <c r="Q192" s="439"/>
      <c r="R192" s="439"/>
      <c r="S192" s="439"/>
      <c r="T192" s="439"/>
      <c r="U192" s="439"/>
      <c r="V192" s="439"/>
      <c r="W192" s="439"/>
      <c r="X192" s="439"/>
      <c r="Y192" s="439"/>
      <c r="Z192" s="439"/>
      <c r="AA192" s="439"/>
      <c r="AB192" s="439"/>
      <c r="AC192" s="439"/>
      <c r="AD192" s="439"/>
      <c r="AE192" s="439"/>
      <c r="AF192" s="1536"/>
      <c r="AG192" s="439"/>
    </row>
    <row r="193" spans="2:33">
      <c r="B193" s="439"/>
      <c r="C193" s="439"/>
      <c r="D193" s="439"/>
      <c r="E193" s="439"/>
      <c r="F193" s="439"/>
      <c r="G193" s="439"/>
      <c r="H193" s="439"/>
      <c r="I193" s="439"/>
      <c r="J193" s="1822"/>
      <c r="K193" s="439"/>
      <c r="L193" s="439"/>
      <c r="M193" s="439"/>
      <c r="N193" s="439"/>
      <c r="O193" s="439"/>
      <c r="P193" s="439"/>
      <c r="Q193" s="439"/>
      <c r="R193" s="439"/>
      <c r="S193" s="439"/>
      <c r="T193" s="439"/>
      <c r="U193" s="439"/>
      <c r="V193" s="439"/>
      <c r="W193" s="439"/>
      <c r="X193" s="439"/>
      <c r="Y193" s="439"/>
      <c r="Z193" s="439"/>
      <c r="AA193" s="439"/>
      <c r="AB193" s="439"/>
      <c r="AC193" s="439"/>
      <c r="AD193" s="439"/>
      <c r="AE193" s="439"/>
      <c r="AF193" s="1536"/>
      <c r="AG193" s="439"/>
    </row>
    <row r="194" spans="2:33">
      <c r="B194" s="439"/>
      <c r="C194" s="439"/>
      <c r="D194" s="439"/>
      <c r="E194" s="439"/>
      <c r="F194" s="439"/>
      <c r="G194" s="439"/>
      <c r="H194" s="439"/>
      <c r="I194" s="439"/>
      <c r="J194" s="1822"/>
      <c r="K194" s="439"/>
      <c r="L194" s="439"/>
      <c r="M194" s="439"/>
      <c r="N194" s="439"/>
      <c r="O194" s="439"/>
      <c r="P194" s="439"/>
      <c r="Q194" s="439"/>
      <c r="R194" s="439"/>
      <c r="S194" s="439"/>
      <c r="T194" s="439"/>
      <c r="U194" s="439"/>
      <c r="V194" s="439"/>
      <c r="W194" s="439"/>
      <c r="X194" s="439"/>
      <c r="Y194" s="439"/>
      <c r="Z194" s="439"/>
      <c r="AA194" s="439"/>
      <c r="AB194" s="439"/>
      <c r="AC194" s="439"/>
      <c r="AD194" s="439"/>
      <c r="AE194" s="439"/>
      <c r="AF194" s="1536"/>
      <c r="AG194" s="439"/>
    </row>
    <row r="195" spans="2:33">
      <c r="B195" s="439"/>
      <c r="C195" s="439"/>
      <c r="D195" s="439"/>
      <c r="E195" s="439"/>
      <c r="F195" s="439"/>
      <c r="G195" s="439"/>
      <c r="H195" s="439"/>
      <c r="I195" s="439"/>
      <c r="J195" s="1822"/>
      <c r="K195" s="439"/>
      <c r="L195" s="439"/>
      <c r="M195" s="439"/>
      <c r="N195" s="439"/>
      <c r="O195" s="439"/>
      <c r="P195" s="439"/>
      <c r="Q195" s="439"/>
      <c r="R195" s="439"/>
      <c r="S195" s="439"/>
      <c r="T195" s="439"/>
      <c r="U195" s="439"/>
      <c r="V195" s="439"/>
      <c r="W195" s="439"/>
      <c r="X195" s="439"/>
      <c r="Y195" s="439"/>
      <c r="Z195" s="439"/>
      <c r="AA195" s="439"/>
      <c r="AB195" s="439"/>
      <c r="AC195" s="439"/>
      <c r="AD195" s="439"/>
      <c r="AE195" s="439"/>
      <c r="AF195" s="1536"/>
      <c r="AG195" s="439"/>
    </row>
    <row r="196" spans="2:33">
      <c r="B196" s="439"/>
      <c r="C196" s="439"/>
      <c r="D196" s="439"/>
      <c r="E196" s="439"/>
      <c r="F196" s="439"/>
      <c r="G196" s="439"/>
      <c r="H196" s="439"/>
      <c r="I196" s="439"/>
      <c r="J196" s="1822"/>
      <c r="K196" s="439"/>
      <c r="L196" s="439"/>
      <c r="M196" s="439"/>
      <c r="N196" s="439"/>
      <c r="O196" s="439"/>
      <c r="P196" s="439"/>
      <c r="Q196" s="439"/>
      <c r="R196" s="439"/>
      <c r="S196" s="439"/>
      <c r="T196" s="439"/>
      <c r="U196" s="439"/>
      <c r="V196" s="439"/>
      <c r="W196" s="439"/>
      <c r="X196" s="439"/>
      <c r="Y196" s="439"/>
      <c r="Z196" s="439"/>
      <c r="AA196" s="439"/>
      <c r="AB196" s="439"/>
      <c r="AC196" s="439"/>
      <c r="AD196" s="439"/>
      <c r="AE196" s="439"/>
      <c r="AF196" s="1536"/>
      <c r="AG196" s="439"/>
    </row>
    <row r="197" spans="2:33">
      <c r="B197" s="439"/>
      <c r="C197" s="439"/>
      <c r="D197" s="439"/>
      <c r="E197" s="439"/>
      <c r="F197" s="439"/>
      <c r="G197" s="439"/>
      <c r="H197" s="439"/>
      <c r="I197" s="439"/>
      <c r="J197" s="1822"/>
      <c r="K197" s="439"/>
      <c r="L197" s="439"/>
      <c r="M197" s="439"/>
      <c r="N197" s="439"/>
      <c r="O197" s="439"/>
      <c r="P197" s="439"/>
      <c r="Q197" s="439"/>
      <c r="R197" s="439"/>
      <c r="S197" s="439"/>
      <c r="T197" s="439"/>
      <c r="U197" s="439"/>
      <c r="V197" s="439"/>
      <c r="W197" s="439"/>
      <c r="X197" s="439"/>
      <c r="Y197" s="439"/>
      <c r="Z197" s="439"/>
      <c r="AA197" s="439"/>
      <c r="AB197" s="439"/>
      <c r="AC197" s="439"/>
      <c r="AD197" s="439"/>
      <c r="AE197" s="439"/>
      <c r="AF197" s="1536"/>
      <c r="AG197" s="439"/>
    </row>
    <row r="198" spans="2:33">
      <c r="B198" s="439"/>
      <c r="C198" s="439"/>
      <c r="D198" s="439"/>
      <c r="E198" s="439"/>
      <c r="F198" s="439"/>
      <c r="G198" s="439"/>
      <c r="H198" s="439"/>
      <c r="I198" s="439"/>
      <c r="J198" s="1822"/>
      <c r="K198" s="439"/>
      <c r="L198" s="439"/>
      <c r="M198" s="439"/>
      <c r="N198" s="439"/>
      <c r="O198" s="439"/>
      <c r="P198" s="439"/>
      <c r="Q198" s="439"/>
      <c r="R198" s="439"/>
      <c r="S198" s="439"/>
      <c r="T198" s="439"/>
      <c r="U198" s="439"/>
      <c r="V198" s="439"/>
      <c r="W198" s="439"/>
      <c r="X198" s="439"/>
      <c r="Y198" s="439"/>
      <c r="Z198" s="439"/>
      <c r="AA198" s="439"/>
      <c r="AB198" s="439"/>
      <c r="AC198" s="439"/>
      <c r="AD198" s="439"/>
      <c r="AE198" s="439"/>
      <c r="AF198" s="1536"/>
      <c r="AG198" s="439"/>
    </row>
    <row r="199" spans="2:33">
      <c r="B199" s="439"/>
      <c r="C199" s="439"/>
      <c r="D199" s="439"/>
      <c r="E199" s="439"/>
      <c r="F199" s="439"/>
      <c r="G199" s="439"/>
      <c r="H199" s="439"/>
      <c r="I199" s="439"/>
      <c r="J199" s="1822"/>
      <c r="K199" s="439"/>
      <c r="L199" s="439"/>
      <c r="M199" s="439"/>
      <c r="N199" s="439"/>
      <c r="O199" s="439"/>
      <c r="P199" s="439"/>
      <c r="Q199" s="439"/>
      <c r="R199" s="439"/>
      <c r="S199" s="439"/>
      <c r="T199" s="439"/>
      <c r="U199" s="439"/>
      <c r="V199" s="439"/>
      <c r="W199" s="439"/>
      <c r="X199" s="439"/>
      <c r="Y199" s="439"/>
      <c r="Z199" s="439"/>
      <c r="AA199" s="439"/>
      <c r="AB199" s="439"/>
      <c r="AC199" s="439"/>
      <c r="AD199" s="439"/>
      <c r="AE199" s="439"/>
      <c r="AF199" s="1536"/>
      <c r="AG199" s="439"/>
    </row>
    <row r="200" spans="2:33">
      <c r="B200" s="439"/>
      <c r="C200" s="439"/>
      <c r="D200" s="439"/>
      <c r="E200" s="439"/>
      <c r="F200" s="439"/>
      <c r="G200" s="439"/>
      <c r="H200" s="439"/>
      <c r="I200" s="439"/>
      <c r="J200" s="1822"/>
      <c r="K200" s="439"/>
      <c r="L200" s="439"/>
      <c r="M200" s="439"/>
      <c r="N200" s="439"/>
      <c r="O200" s="439"/>
      <c r="P200" s="439"/>
      <c r="Q200" s="439"/>
      <c r="R200" s="439"/>
      <c r="S200" s="439"/>
      <c r="T200" s="439"/>
      <c r="U200" s="439"/>
      <c r="V200" s="439"/>
      <c r="W200" s="439"/>
      <c r="X200" s="439"/>
      <c r="Y200" s="439"/>
      <c r="Z200" s="439"/>
      <c r="AA200" s="439"/>
      <c r="AB200" s="439"/>
      <c r="AC200" s="439"/>
      <c r="AD200" s="439"/>
      <c r="AE200" s="439"/>
      <c r="AF200" s="1536"/>
      <c r="AG200" s="439"/>
    </row>
    <row r="201" spans="2:33">
      <c r="B201" s="439"/>
      <c r="C201" s="439"/>
      <c r="D201" s="439"/>
      <c r="E201" s="439"/>
      <c r="F201" s="439"/>
      <c r="G201" s="439"/>
      <c r="H201" s="439"/>
      <c r="I201" s="439"/>
      <c r="J201" s="1822"/>
      <c r="K201" s="439"/>
      <c r="L201" s="439"/>
      <c r="M201" s="439"/>
      <c r="N201" s="439"/>
      <c r="O201" s="439"/>
      <c r="P201" s="439"/>
      <c r="Q201" s="439"/>
      <c r="R201" s="439"/>
      <c r="S201" s="439"/>
      <c r="T201" s="439"/>
      <c r="U201" s="439"/>
      <c r="V201" s="439"/>
      <c r="W201" s="439"/>
      <c r="X201" s="439"/>
      <c r="Y201" s="439"/>
      <c r="Z201" s="439"/>
      <c r="AA201" s="439"/>
      <c r="AB201" s="439"/>
      <c r="AC201" s="439"/>
      <c r="AD201" s="439"/>
      <c r="AE201" s="439"/>
      <c r="AF201" s="1536"/>
      <c r="AG201" s="439"/>
    </row>
    <row r="202" spans="2:33">
      <c r="B202" s="439"/>
      <c r="C202" s="439"/>
      <c r="D202" s="439"/>
      <c r="E202" s="439"/>
      <c r="F202" s="439"/>
      <c r="G202" s="439"/>
      <c r="H202" s="439"/>
      <c r="I202" s="439"/>
      <c r="J202" s="1822"/>
      <c r="K202" s="439"/>
      <c r="L202" s="439"/>
      <c r="M202" s="439"/>
      <c r="N202" s="439"/>
      <c r="O202" s="439"/>
      <c r="P202" s="439"/>
      <c r="Q202" s="439"/>
      <c r="R202" s="439"/>
      <c r="S202" s="439"/>
      <c r="T202" s="439"/>
      <c r="U202" s="439"/>
      <c r="V202" s="439"/>
      <c r="W202" s="439"/>
      <c r="X202" s="439"/>
      <c r="Y202" s="439"/>
      <c r="Z202" s="439"/>
      <c r="AA202" s="439"/>
      <c r="AB202" s="439"/>
      <c r="AC202" s="439"/>
      <c r="AD202" s="439"/>
      <c r="AE202" s="439"/>
      <c r="AF202" s="1536"/>
      <c r="AG202" s="439"/>
    </row>
    <row r="203" spans="2:33">
      <c r="B203" s="439"/>
      <c r="C203" s="439"/>
      <c r="D203" s="439"/>
      <c r="E203" s="439"/>
      <c r="F203" s="439"/>
      <c r="G203" s="439"/>
      <c r="H203" s="439"/>
      <c r="I203" s="439"/>
      <c r="J203" s="1822"/>
      <c r="K203" s="439"/>
      <c r="L203" s="439"/>
      <c r="M203" s="439"/>
      <c r="N203" s="439"/>
      <c r="O203" s="439"/>
      <c r="P203" s="439"/>
      <c r="Q203" s="439"/>
      <c r="R203" s="439"/>
      <c r="S203" s="439"/>
      <c r="T203" s="439"/>
      <c r="U203" s="439"/>
      <c r="V203" s="439"/>
      <c r="W203" s="439"/>
      <c r="X203" s="439"/>
      <c r="Y203" s="439"/>
      <c r="Z203" s="439"/>
      <c r="AA203" s="439"/>
      <c r="AB203" s="439"/>
      <c r="AC203" s="439"/>
      <c r="AD203" s="439"/>
      <c r="AE203" s="439"/>
      <c r="AF203" s="1536"/>
      <c r="AG203" s="439"/>
    </row>
    <row r="204" spans="2:33">
      <c r="B204" s="439"/>
      <c r="C204" s="439"/>
      <c r="D204" s="439"/>
      <c r="E204" s="439"/>
      <c r="F204" s="439"/>
      <c r="G204" s="439"/>
      <c r="H204" s="439"/>
      <c r="I204" s="439"/>
      <c r="J204" s="1822"/>
      <c r="K204" s="439"/>
      <c r="L204" s="439"/>
      <c r="M204" s="439"/>
      <c r="N204" s="439"/>
      <c r="O204" s="439"/>
      <c r="P204" s="439"/>
      <c r="Q204" s="439"/>
      <c r="R204" s="439"/>
      <c r="S204" s="439"/>
      <c r="T204" s="439"/>
      <c r="U204" s="439"/>
      <c r="V204" s="439"/>
      <c r="W204" s="439"/>
      <c r="X204" s="439"/>
      <c r="Y204" s="439"/>
      <c r="Z204" s="439"/>
      <c r="AA204" s="439"/>
      <c r="AB204" s="439"/>
      <c r="AC204" s="439"/>
      <c r="AD204" s="439"/>
      <c r="AE204" s="439"/>
      <c r="AF204" s="1536"/>
      <c r="AG204" s="439"/>
    </row>
    <row r="205" spans="2:33">
      <c r="B205" s="439"/>
      <c r="C205" s="439"/>
      <c r="D205" s="439"/>
      <c r="E205" s="439"/>
      <c r="F205" s="439"/>
      <c r="G205" s="439"/>
      <c r="H205" s="439"/>
      <c r="I205" s="439"/>
      <c r="J205" s="1822"/>
      <c r="K205" s="439"/>
      <c r="L205" s="439"/>
      <c r="M205" s="439"/>
      <c r="N205" s="439"/>
      <c r="O205" s="439"/>
      <c r="P205" s="439"/>
      <c r="Q205" s="439"/>
      <c r="R205" s="439"/>
      <c r="S205" s="439"/>
      <c r="T205" s="439"/>
      <c r="U205" s="439"/>
      <c r="V205" s="439"/>
      <c r="W205" s="439"/>
      <c r="X205" s="439"/>
      <c r="Y205" s="439"/>
      <c r="Z205" s="439"/>
      <c r="AA205" s="439"/>
      <c r="AB205" s="439"/>
      <c r="AC205" s="439"/>
      <c r="AD205" s="439"/>
      <c r="AE205" s="439"/>
      <c r="AF205" s="1536"/>
      <c r="AG205" s="439"/>
    </row>
    <row r="206" spans="2:33">
      <c r="B206" s="439"/>
      <c r="C206" s="439"/>
      <c r="D206" s="439"/>
      <c r="E206" s="439"/>
      <c r="F206" s="439"/>
      <c r="G206" s="439"/>
      <c r="H206" s="439"/>
      <c r="I206" s="439"/>
      <c r="J206" s="1822"/>
      <c r="K206" s="439"/>
      <c r="L206" s="439"/>
      <c r="M206" s="439"/>
      <c r="N206" s="439"/>
      <c r="O206" s="439"/>
      <c r="P206" s="439"/>
      <c r="Q206" s="439"/>
      <c r="R206" s="439"/>
      <c r="S206" s="439"/>
      <c r="T206" s="439"/>
      <c r="U206" s="439"/>
      <c r="V206" s="439"/>
      <c r="W206" s="439"/>
      <c r="X206" s="439"/>
      <c r="Y206" s="439"/>
      <c r="Z206" s="439"/>
      <c r="AA206" s="439"/>
      <c r="AB206" s="439"/>
      <c r="AC206" s="439"/>
      <c r="AD206" s="439"/>
      <c r="AE206" s="439"/>
      <c r="AF206" s="1536"/>
      <c r="AG206" s="439"/>
    </row>
    <row r="207" spans="2:33">
      <c r="B207" s="439"/>
      <c r="C207" s="439"/>
      <c r="D207" s="439"/>
      <c r="E207" s="439"/>
      <c r="F207" s="439"/>
      <c r="G207" s="439"/>
      <c r="H207" s="439"/>
      <c r="I207" s="439"/>
      <c r="J207" s="1822"/>
      <c r="K207" s="439"/>
      <c r="L207" s="439"/>
      <c r="M207" s="439"/>
      <c r="N207" s="439"/>
      <c r="O207" s="439"/>
      <c r="P207" s="439"/>
      <c r="Q207" s="439"/>
      <c r="R207" s="439"/>
      <c r="S207" s="439"/>
      <c r="T207" s="439"/>
      <c r="U207" s="439"/>
      <c r="V207" s="439"/>
      <c r="W207" s="439"/>
      <c r="X207" s="439"/>
      <c r="Y207" s="439"/>
      <c r="Z207" s="439"/>
      <c r="AA207" s="439"/>
      <c r="AB207" s="439"/>
      <c r="AC207" s="439"/>
      <c r="AD207" s="439"/>
      <c r="AE207" s="439"/>
      <c r="AF207" s="1536"/>
      <c r="AG207" s="439"/>
    </row>
    <row r="208" spans="2:33">
      <c r="B208" s="439"/>
      <c r="C208" s="439"/>
      <c r="D208" s="439"/>
      <c r="E208" s="439"/>
      <c r="F208" s="439"/>
      <c r="G208" s="439"/>
      <c r="H208" s="439"/>
      <c r="I208" s="439"/>
      <c r="J208" s="1822"/>
      <c r="K208" s="439"/>
      <c r="L208" s="439"/>
      <c r="M208" s="439"/>
      <c r="N208" s="439"/>
      <c r="O208" s="439"/>
      <c r="P208" s="439"/>
      <c r="Q208" s="439"/>
      <c r="R208" s="439"/>
      <c r="S208" s="439"/>
      <c r="T208" s="439"/>
      <c r="U208" s="439"/>
      <c r="V208" s="439"/>
      <c r="W208" s="439"/>
      <c r="X208" s="439"/>
      <c r="Y208" s="439"/>
      <c r="Z208" s="439"/>
      <c r="AA208" s="439"/>
      <c r="AB208" s="439"/>
      <c r="AC208" s="439"/>
      <c r="AD208" s="439"/>
      <c r="AE208" s="439"/>
      <c r="AF208" s="1536"/>
      <c r="AG208" s="439"/>
    </row>
    <row r="209" spans="2:33">
      <c r="B209" s="439"/>
      <c r="C209" s="439"/>
      <c r="D209" s="439"/>
      <c r="E209" s="439"/>
      <c r="F209" s="439"/>
      <c r="G209" s="439"/>
      <c r="H209" s="439"/>
      <c r="I209" s="439"/>
      <c r="J209" s="1822"/>
      <c r="K209" s="439"/>
      <c r="L209" s="439"/>
      <c r="M209" s="439"/>
      <c r="N209" s="439"/>
      <c r="O209" s="439"/>
      <c r="P209" s="439"/>
      <c r="Q209" s="439"/>
      <c r="R209" s="439"/>
      <c r="S209" s="439"/>
      <c r="T209" s="439"/>
      <c r="U209" s="439"/>
      <c r="V209" s="439"/>
      <c r="W209" s="439"/>
      <c r="X209" s="439"/>
      <c r="Y209" s="439"/>
      <c r="Z209" s="439"/>
      <c r="AA209" s="439"/>
      <c r="AB209" s="439"/>
      <c r="AC209" s="439"/>
      <c r="AD209" s="439"/>
      <c r="AE209" s="439"/>
      <c r="AF209" s="1536"/>
      <c r="AG209" s="439"/>
    </row>
    <row r="210" spans="2:33">
      <c r="B210" s="439"/>
      <c r="C210" s="439"/>
      <c r="D210" s="439"/>
      <c r="E210" s="439"/>
      <c r="F210" s="439"/>
      <c r="G210" s="439"/>
      <c r="H210" s="439"/>
      <c r="I210" s="439"/>
      <c r="J210" s="1822"/>
      <c r="K210" s="439"/>
      <c r="L210" s="439"/>
      <c r="M210" s="439"/>
      <c r="N210" s="439"/>
      <c r="O210" s="439"/>
      <c r="P210" s="439"/>
      <c r="Q210" s="439"/>
      <c r="R210" s="439"/>
      <c r="S210" s="439"/>
      <c r="T210" s="439"/>
      <c r="U210" s="439"/>
      <c r="V210" s="439"/>
      <c r="W210" s="439"/>
      <c r="X210" s="439"/>
      <c r="Y210" s="439"/>
      <c r="Z210" s="439"/>
      <c r="AA210" s="439"/>
      <c r="AB210" s="439"/>
      <c r="AC210" s="439"/>
      <c r="AD210" s="439"/>
      <c r="AE210" s="439"/>
      <c r="AF210" s="1536"/>
      <c r="AG210" s="439"/>
    </row>
    <row r="211" spans="2:33">
      <c r="B211" s="439"/>
      <c r="C211" s="439"/>
      <c r="D211" s="439"/>
      <c r="E211" s="439"/>
      <c r="F211" s="439"/>
      <c r="G211" s="439"/>
      <c r="H211" s="439"/>
      <c r="I211" s="439"/>
      <c r="J211" s="1822"/>
      <c r="K211" s="439"/>
      <c r="L211" s="439"/>
      <c r="M211" s="439"/>
      <c r="N211" s="439"/>
      <c r="O211" s="439"/>
      <c r="P211" s="439"/>
      <c r="Q211" s="439"/>
      <c r="R211" s="439"/>
      <c r="S211" s="439"/>
      <c r="T211" s="439"/>
      <c r="U211" s="439"/>
      <c r="V211" s="439"/>
      <c r="W211" s="439"/>
      <c r="X211" s="439"/>
      <c r="Y211" s="439"/>
      <c r="Z211" s="439"/>
      <c r="AA211" s="439"/>
      <c r="AB211" s="439"/>
      <c r="AC211" s="439"/>
      <c r="AD211" s="439"/>
      <c r="AE211" s="439"/>
      <c r="AF211" s="1536"/>
      <c r="AG211" s="439"/>
    </row>
    <row r="212" spans="2:33">
      <c r="B212" s="439"/>
      <c r="C212" s="439"/>
      <c r="D212" s="439"/>
      <c r="E212" s="439"/>
      <c r="F212" s="439"/>
      <c r="G212" s="439"/>
      <c r="H212" s="439"/>
      <c r="I212" s="439"/>
      <c r="J212" s="1822"/>
      <c r="K212" s="439"/>
      <c r="L212" s="439"/>
      <c r="M212" s="439"/>
      <c r="N212" s="439"/>
      <c r="O212" s="439"/>
      <c r="P212" s="439"/>
      <c r="Q212" s="439"/>
      <c r="R212" s="439"/>
      <c r="S212" s="439"/>
      <c r="T212" s="439"/>
      <c r="U212" s="439"/>
      <c r="V212" s="439"/>
      <c r="W212" s="439"/>
      <c r="X212" s="439"/>
      <c r="Y212" s="439"/>
      <c r="Z212" s="439"/>
      <c r="AA212" s="439"/>
      <c r="AB212" s="439"/>
      <c r="AC212" s="439"/>
      <c r="AD212" s="439"/>
      <c r="AE212" s="439"/>
      <c r="AF212" s="1536"/>
      <c r="AG212" s="439"/>
    </row>
    <row r="213" spans="2:33">
      <c r="B213" s="439"/>
      <c r="C213" s="439"/>
      <c r="D213" s="439"/>
      <c r="E213" s="439"/>
      <c r="F213" s="439"/>
      <c r="G213" s="439"/>
      <c r="H213" s="439"/>
      <c r="I213" s="439"/>
      <c r="J213" s="1822"/>
      <c r="K213" s="439"/>
      <c r="L213" s="439"/>
      <c r="M213" s="439"/>
      <c r="N213" s="439"/>
      <c r="O213" s="439"/>
      <c r="P213" s="439"/>
      <c r="Q213" s="439"/>
      <c r="R213" s="439"/>
      <c r="S213" s="439"/>
      <c r="T213" s="439"/>
      <c r="U213" s="439"/>
      <c r="V213" s="439"/>
      <c r="W213" s="439"/>
      <c r="X213" s="439"/>
      <c r="Y213" s="439"/>
      <c r="Z213" s="439"/>
      <c r="AA213" s="439"/>
      <c r="AB213" s="439"/>
      <c r="AC213" s="439"/>
      <c r="AD213" s="439"/>
      <c r="AE213" s="439"/>
      <c r="AF213" s="1536"/>
      <c r="AG213" s="439"/>
    </row>
    <row r="214" spans="2:33">
      <c r="B214" s="439"/>
      <c r="C214" s="439"/>
      <c r="D214" s="439"/>
      <c r="E214" s="439"/>
      <c r="F214" s="439"/>
      <c r="G214" s="439"/>
      <c r="H214" s="439"/>
      <c r="I214" s="439"/>
      <c r="J214" s="1822"/>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1536"/>
      <c r="AG214" s="439"/>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0" fitToHeight="0" orientation="landscape" useFirstPageNumber="1" r:id="rId2"/>
  <headerFooter scaleWithDoc="0" alignWithMargins="0">
    <oddFooter>&amp;C&amp;8&amp;P</oddFooter>
  </headerFooter>
  <rowBreaks count="1" manualBreakCount="1">
    <brk id="92" min="1" max="36" man="1"/>
  </rowBreaks>
  <ignoredErrors>
    <ignoredError sqref="AK19:AK23" unlockedFormula="1"/>
    <ignoredError sqref="AI22 D24 AK25 AK86:AK87 AK132:AK140 AK119 AK129 AK91 AK109 AK71:AK79 AK82:AK83 AK50 AK101 AK58 AK64 AK35:AK36 AK43 AK67 AK116 AK33" formula="1"/>
    <ignoredError sqref="AK26:AK32 AK110:AK115 AK65:AK66 AK37:AK42 AK34 AK59:AK63 AK51:AK57 AK92:AK100 AK44:AK49 AK80:AK81 AK68:AK70 AK102:AK108 AK88:AK90 AK24 AK120:AK128 AK117:AK118 AK130:AK131 AK84:AK85"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75"/>
  <sheetViews>
    <sheetView showGridLines="0" zoomScale="70" zoomScaleNormal="55" workbookViewId="0"/>
  </sheetViews>
  <sheetFormatPr defaultColWidth="8.88671875" defaultRowHeight="15"/>
  <cols>
    <col min="1" max="1" width="1.6640625" style="217" customWidth="1"/>
    <col min="2" max="2" width="45.44140625" style="217" customWidth="1"/>
    <col min="3" max="3" width="1.6640625" style="217" customWidth="1"/>
    <col min="4" max="4" width="12.44140625" style="217" bestFit="1" customWidth="1"/>
    <col min="5" max="5" width="1.6640625" customWidth="1"/>
    <col min="6" max="6" width="12.33203125" style="217" bestFit="1" customWidth="1"/>
    <col min="7" max="7" width="1.6640625" customWidth="1"/>
    <col min="8" max="8" width="12.21875" style="217" customWidth="1"/>
    <col min="9" max="9" width="1.6640625" customWidth="1"/>
    <col min="10" max="10" width="9.5546875" style="217" customWidth="1"/>
    <col min="11" max="11" width="1.6640625" customWidth="1"/>
    <col min="12" max="12" width="13.44140625" style="217" customWidth="1"/>
    <col min="13" max="13" width="1.6640625" customWidth="1"/>
    <col min="14" max="14" width="14.33203125" style="217" customWidth="1"/>
    <col min="15" max="15" width="1.6640625" customWidth="1"/>
    <col min="16" max="16" width="14.33203125" style="217" customWidth="1"/>
    <col min="17" max="17" width="1.6640625" customWidth="1"/>
    <col min="18" max="18" width="14.33203125" style="217" customWidth="1"/>
    <col min="19" max="19" width="1.6640625" customWidth="1"/>
    <col min="20" max="20" width="14.33203125" style="217" customWidth="1"/>
    <col min="21" max="21" width="1.6640625" customWidth="1"/>
    <col min="22" max="22" width="14.33203125" style="217" customWidth="1"/>
    <col min="23" max="23" width="1.6640625" customWidth="1"/>
    <col min="24" max="24" width="14.33203125" style="217" customWidth="1"/>
    <col min="25" max="25" width="1.6640625" customWidth="1"/>
    <col min="26" max="26" width="14.33203125" style="217" customWidth="1"/>
    <col min="27" max="27" width="1.6640625" style="217" customWidth="1"/>
    <col min="28" max="28" width="14.21875" style="217" bestFit="1" customWidth="1"/>
    <col min="29" max="29" width="1.6640625" style="217" customWidth="1"/>
    <col min="30" max="30" width="12.5546875" style="217" bestFit="1" customWidth="1"/>
    <col min="31" max="31" width="1.44140625" style="217" customWidth="1"/>
    <col min="32" max="32" width="1.33203125" style="217" customWidth="1"/>
    <col min="33" max="33" width="12.5546875" style="217" bestFit="1" customWidth="1"/>
    <col min="34" max="35" width="0.88671875" style="217" customWidth="1"/>
    <col min="36" max="36" width="12.77734375" style="217" customWidth="1"/>
    <col min="37" max="37" width="0.6640625" style="217" customWidth="1"/>
    <col min="38" max="38" width="10.77734375" style="1583" customWidth="1"/>
    <col min="39" max="16384" width="8.88671875" style="217"/>
  </cols>
  <sheetData>
    <row r="1" spans="1:43">
      <c r="B1" s="1052" t="s">
        <v>1064</v>
      </c>
    </row>
    <row r="2" spans="1:43" ht="15.75">
      <c r="A2" s="474"/>
      <c r="N2" s="216"/>
    </row>
    <row r="3" spans="1:43" ht="15.75">
      <c r="A3" s="474"/>
      <c r="N3" s="216"/>
    </row>
    <row r="4" spans="1:43" ht="18">
      <c r="A4" s="474"/>
      <c r="B4" s="443" t="s">
        <v>0</v>
      </c>
      <c r="N4" s="216"/>
      <c r="AE4" s="480"/>
      <c r="AF4" s="480"/>
      <c r="AG4" s="480"/>
      <c r="AH4" s="480"/>
      <c r="AI4" s="480"/>
      <c r="AJ4" s="480"/>
      <c r="AK4" s="480"/>
      <c r="AL4" s="690" t="s">
        <v>171</v>
      </c>
    </row>
    <row r="5" spans="1:43" ht="18">
      <c r="A5" s="474"/>
      <c r="B5" s="443" t="s">
        <v>1291</v>
      </c>
      <c r="L5" s="216"/>
    </row>
    <row r="6" spans="1:43" ht="18">
      <c r="A6" s="474"/>
      <c r="B6" s="448" t="s">
        <v>150</v>
      </c>
      <c r="L6" s="218"/>
      <c r="X6" s="482"/>
    </row>
    <row r="7" spans="1:43" ht="20.25">
      <c r="A7" s="474"/>
      <c r="B7" s="2505" t="str">
        <f>'Cashflow Governmental'!A6</f>
        <v>FISCAL YEAR 2018-2019</v>
      </c>
      <c r="L7" s="218"/>
      <c r="AL7" s="484"/>
    </row>
    <row r="8" spans="1:43" ht="18">
      <c r="A8" s="474"/>
      <c r="B8" s="443" t="s">
        <v>1394</v>
      </c>
      <c r="AI8" s="218"/>
      <c r="AJ8" s="218"/>
      <c r="AK8" s="218"/>
      <c r="AL8" s="1212"/>
    </row>
    <row r="9" spans="1:43">
      <c r="A9" s="474"/>
      <c r="L9" s="218"/>
      <c r="N9" s="218"/>
      <c r="AC9" s="218"/>
      <c r="AD9" s="218"/>
      <c r="AE9" s="218"/>
      <c r="AF9" s="218"/>
      <c r="AG9" s="218"/>
      <c r="AH9" s="218"/>
      <c r="AI9" s="218"/>
      <c r="AJ9" s="218"/>
      <c r="AK9" s="218"/>
      <c r="AL9" s="1212"/>
    </row>
    <row r="10" spans="1:43" s="439" customFormat="1" ht="19.5" customHeight="1">
      <c r="A10" s="438"/>
      <c r="E10"/>
      <c r="G10"/>
      <c r="I10"/>
      <c r="K10"/>
      <c r="L10" s="477"/>
      <c r="M10"/>
      <c r="N10" s="477"/>
      <c r="O10"/>
      <c r="Q10"/>
      <c r="S10"/>
      <c r="U10"/>
      <c r="W10"/>
      <c r="Y10"/>
      <c r="AB10" s="1279" t="s">
        <v>1404</v>
      </c>
      <c r="AC10" s="3749" t="s">
        <v>1466</v>
      </c>
      <c r="AD10" s="3749"/>
      <c r="AE10" s="3749"/>
      <c r="AF10" s="3749"/>
      <c r="AG10" s="3749"/>
      <c r="AH10" s="3749"/>
      <c r="AI10" s="3749"/>
      <c r="AJ10" s="3749"/>
      <c r="AK10" s="3749"/>
      <c r="AL10" s="3749"/>
    </row>
    <row r="11" spans="1:43" ht="15.75">
      <c r="A11" s="474"/>
      <c r="D11" s="1293" t="str">
        <f>'Cashflow Governmental'!C13</f>
        <v>2018</v>
      </c>
      <c r="F11" s="216"/>
      <c r="H11" s="216"/>
      <c r="J11" s="216"/>
      <c r="L11" s="216"/>
      <c r="N11" s="216"/>
      <c r="P11" s="216"/>
      <c r="R11" s="216"/>
      <c r="T11" s="216"/>
      <c r="V11" s="1293" t="str">
        <f>'Cashflow Governmental'!U13</f>
        <v>2019</v>
      </c>
      <c r="X11" s="216"/>
      <c r="Z11" s="216"/>
      <c r="AA11" s="216"/>
      <c r="AB11" s="1279" t="s">
        <v>1405</v>
      </c>
      <c r="AC11" s="216"/>
      <c r="AD11" s="400"/>
      <c r="AE11" s="400"/>
      <c r="AF11" s="400"/>
      <c r="AG11" s="400"/>
      <c r="AH11" s="400"/>
      <c r="AI11" s="399"/>
      <c r="AJ11" s="1296" t="s">
        <v>8</v>
      </c>
      <c r="AK11" s="400"/>
      <c r="AL11" s="1297" t="s">
        <v>9</v>
      </c>
      <c r="AM11" s="399"/>
      <c r="AN11" s="399"/>
      <c r="AO11" s="399"/>
      <c r="AP11" s="399"/>
      <c r="AQ11" s="399"/>
    </row>
    <row r="12" spans="1:43" ht="15.75">
      <c r="A12" s="474"/>
      <c r="D12" s="1279" t="s">
        <v>126</v>
      </c>
      <c r="F12" s="1279" t="s">
        <v>127</v>
      </c>
      <c r="H12" s="1279" t="s">
        <v>128</v>
      </c>
      <c r="J12" s="1279" t="s">
        <v>129</v>
      </c>
      <c r="L12" s="3216" t="s">
        <v>130</v>
      </c>
      <c r="N12" s="1279" t="s">
        <v>145</v>
      </c>
      <c r="P12" s="1279" t="s">
        <v>146</v>
      </c>
      <c r="R12" s="1279" t="s">
        <v>133</v>
      </c>
      <c r="T12" s="1279" t="s">
        <v>134</v>
      </c>
      <c r="V12" s="1279" t="s">
        <v>135</v>
      </c>
      <c r="X12" s="1279" t="s">
        <v>136</v>
      </c>
      <c r="Z12" s="1279" t="s">
        <v>188</v>
      </c>
      <c r="AA12" s="1279"/>
      <c r="AB12" s="3448" t="s">
        <v>1406</v>
      </c>
      <c r="AC12" s="216"/>
      <c r="AD12" s="1293" t="str">
        <f>'Cashflow Governmental'!AB14</f>
        <v>2018</v>
      </c>
      <c r="AE12" s="216" t="s">
        <v>15</v>
      </c>
      <c r="AF12" s="399"/>
      <c r="AG12" s="1293" t="str">
        <f>'Cashflow Governmental'!AE14</f>
        <v>2017</v>
      </c>
      <c r="AH12" s="1278"/>
      <c r="AI12" s="399"/>
      <c r="AJ12" s="1302" t="s">
        <v>12</v>
      </c>
      <c r="AK12" s="399"/>
      <c r="AL12" s="1302" t="s">
        <v>13</v>
      </c>
      <c r="AM12" s="399"/>
      <c r="AN12" s="399"/>
      <c r="AO12" s="399"/>
      <c r="AP12" s="399"/>
      <c r="AQ12" s="399"/>
    </row>
    <row r="13" spans="1:43" ht="5.25" customHeight="1">
      <c r="A13" s="474"/>
      <c r="D13" s="230"/>
      <c r="F13" s="230"/>
      <c r="H13" s="230"/>
      <c r="J13" s="230"/>
      <c r="L13" s="230"/>
      <c r="N13" s="485"/>
      <c r="P13" s="230"/>
      <c r="R13" s="230"/>
      <c r="T13" s="230"/>
      <c r="V13" s="230"/>
      <c r="X13" s="230"/>
      <c r="Z13" s="230"/>
      <c r="AA13" s="224"/>
      <c r="AD13" s="230"/>
      <c r="AG13" s="230"/>
      <c r="AH13" s="224"/>
      <c r="AI13" s="486"/>
    </row>
    <row r="14" spans="1:43" ht="15" customHeight="1">
      <c r="A14" s="218"/>
      <c r="B14" s="363" t="s">
        <v>1356</v>
      </c>
      <c r="C14" s="218"/>
      <c r="D14" s="324">
        <f>'Exhibit G state'!D13+'Exhibit G Federal'!D13</f>
        <v>4302.1000000000004</v>
      </c>
      <c r="F14" s="283"/>
      <c r="H14" s="283"/>
      <c r="J14" s="283"/>
      <c r="L14" s="283"/>
      <c r="N14" s="283"/>
      <c r="P14" s="283"/>
      <c r="R14" s="283"/>
      <c r="T14" s="283"/>
      <c r="V14" s="283"/>
      <c r="X14" s="283"/>
      <c r="Z14" s="283"/>
      <c r="AA14" s="283"/>
      <c r="AB14" s="283">
        <v>0</v>
      </c>
      <c r="AC14" s="284"/>
      <c r="AD14" s="283">
        <f>D14</f>
        <v>4302.1000000000004</v>
      </c>
      <c r="AE14" s="283"/>
      <c r="AF14" s="284"/>
      <c r="AG14" s="543">
        <f>'Exhibit G state'!AG13+'Exhibit G Federal'!AG13</f>
        <v>4272.2</v>
      </c>
      <c r="AH14" s="487"/>
      <c r="AI14" s="410"/>
      <c r="AJ14" s="371">
        <f>AD14-AG14</f>
        <v>29.900000000000546</v>
      </c>
      <c r="AK14" s="488"/>
      <c r="AL14" s="489">
        <f>(AD14-AG14)/AG14</f>
        <v>6.9987360142316716E-3</v>
      </c>
      <c r="AM14" s="482"/>
      <c r="AN14" s="482"/>
      <c r="AO14" s="482"/>
      <c r="AP14" s="482"/>
      <c r="AQ14" s="482"/>
    </row>
    <row r="15" spans="1:43" ht="15" customHeight="1">
      <c r="A15" s="218"/>
      <c r="B15" s="218"/>
      <c r="C15" s="218"/>
      <c r="AC15" s="402"/>
      <c r="AF15" s="402"/>
      <c r="AH15" s="490"/>
      <c r="AI15" s="224"/>
      <c r="AL15" s="1629"/>
    </row>
    <row r="16" spans="1:43" ht="15" customHeight="1">
      <c r="A16" s="218"/>
      <c r="B16" s="216" t="s">
        <v>14</v>
      </c>
      <c r="C16" s="218"/>
      <c r="D16" s="254"/>
      <c r="F16" s="254"/>
      <c r="H16" s="254"/>
      <c r="J16" s="254"/>
      <c r="L16" s="254"/>
      <c r="N16" s="254"/>
      <c r="P16" s="254"/>
      <c r="R16" s="254"/>
      <c r="T16" s="254"/>
      <c r="V16" s="254"/>
      <c r="X16" s="254"/>
      <c r="Z16" s="254"/>
      <c r="AA16" s="254"/>
      <c r="AB16" s="254"/>
      <c r="AC16" s="244"/>
      <c r="AD16" s="254"/>
      <c r="AE16" s="254"/>
      <c r="AF16" s="244"/>
      <c r="AG16" s="254"/>
      <c r="AH16" s="491"/>
      <c r="AI16" s="243"/>
      <c r="AJ16" s="254"/>
      <c r="AL16" s="1629"/>
    </row>
    <row r="17" spans="1:38" ht="15" customHeight="1">
      <c r="A17" s="218"/>
      <c r="B17" s="467" t="s">
        <v>1193</v>
      </c>
      <c r="C17" s="218"/>
      <c r="D17" s="254"/>
      <c r="F17" s="254"/>
      <c r="H17" s="254"/>
      <c r="J17" s="254"/>
      <c r="L17" s="254"/>
      <c r="N17" s="254"/>
      <c r="P17" s="254"/>
      <c r="R17" s="254"/>
      <c r="T17" s="254"/>
      <c r="V17" s="254"/>
      <c r="X17" s="254"/>
      <c r="Z17" s="254"/>
      <c r="AA17" s="254"/>
      <c r="AB17" s="254"/>
      <c r="AC17" s="244"/>
      <c r="AD17" s="254"/>
      <c r="AE17" s="254"/>
      <c r="AF17" s="244"/>
      <c r="AG17" s="254"/>
      <c r="AH17" s="491"/>
      <c r="AI17" s="243"/>
      <c r="AJ17" s="254"/>
      <c r="AL17" s="1629"/>
    </row>
    <row r="18" spans="1:38" s="399" customFormat="1" ht="15" customHeight="1">
      <c r="A18" s="216"/>
      <c r="B18" s="2017" t="s">
        <v>1196</v>
      </c>
      <c r="C18" s="216"/>
      <c r="D18" s="1544">
        <f>'Exhibit G state'!D17</f>
        <v>0</v>
      </c>
      <c r="E18" s="2502"/>
      <c r="F18" s="1544"/>
      <c r="G18" s="2502"/>
      <c r="H18" s="1544"/>
      <c r="I18"/>
      <c r="J18" s="1544"/>
      <c r="K18" s="2833"/>
      <c r="L18" s="1544"/>
      <c r="M18" s="2833"/>
      <c r="N18" s="1544"/>
      <c r="O18" s="2833"/>
      <c r="P18" s="1544"/>
      <c r="Q18" s="2833"/>
      <c r="R18" s="1544"/>
      <c r="S18" s="2833"/>
      <c r="T18" s="1544"/>
      <c r="U18" s="2833"/>
      <c r="V18" s="1544"/>
      <c r="W18" s="2833"/>
      <c r="X18" s="1544"/>
      <c r="Y18" s="2833"/>
      <c r="Z18" s="1544"/>
      <c r="AA18" s="1544"/>
      <c r="AB18" s="2502">
        <v>0</v>
      </c>
      <c r="AC18" s="284"/>
      <c r="AD18" s="1042">
        <f>ROUND(SUM(D18:Z18),1)</f>
        <v>0</v>
      </c>
      <c r="AE18" s="1042"/>
      <c r="AF18" s="2256"/>
      <c r="AG18" s="1206">
        <f>'Exhibit G state'!AG17</f>
        <v>0</v>
      </c>
      <c r="AH18" s="2242"/>
      <c r="AI18" s="1608"/>
      <c r="AJ18" s="1042">
        <f>ROUND(SUM(+AD18-AG18),1)</f>
        <v>0</v>
      </c>
      <c r="AK18" s="242"/>
      <c r="AL18" s="2324">
        <f>ROUND(IF(AG18=0,0,AJ18/ABS(AG18)),3)</f>
        <v>0</v>
      </c>
    </row>
    <row r="19" spans="1:38" s="399" customFormat="1" ht="6" customHeight="1">
      <c r="A19" s="216"/>
      <c r="B19" s="2017"/>
      <c r="C19" s="216"/>
      <c r="D19" s="2959"/>
      <c r="E19"/>
      <c r="F19" s="2959"/>
      <c r="G19"/>
      <c r="H19" s="2959"/>
      <c r="I19"/>
      <c r="J19" s="2959"/>
      <c r="K19" s="2833"/>
      <c r="L19" s="2959"/>
      <c r="M19" s="2833"/>
      <c r="N19" s="2959"/>
      <c r="O19" s="2833"/>
      <c r="P19" s="2959"/>
      <c r="Q19" s="2833"/>
      <c r="R19" s="2959"/>
      <c r="S19" s="2833"/>
      <c r="T19" s="2959"/>
      <c r="U19" s="2833"/>
      <c r="V19" s="2959"/>
      <c r="W19" s="2833"/>
      <c r="X19" s="2959"/>
      <c r="Y19" s="2833"/>
      <c r="Z19" s="2959"/>
      <c r="AA19" s="2959"/>
      <c r="AB19" s="283"/>
      <c r="AC19" s="284"/>
      <c r="AD19" s="1116"/>
      <c r="AE19" s="1116"/>
      <c r="AF19" s="2032"/>
      <c r="AG19" s="1542"/>
      <c r="AH19" s="2033"/>
      <c r="AI19" s="1671"/>
      <c r="AJ19" s="1116"/>
      <c r="AK19" s="242"/>
      <c r="AL19" s="1565"/>
    </row>
    <row r="20" spans="1:38" ht="15" customHeight="1">
      <c r="A20" s="218"/>
      <c r="B20" s="2017" t="s">
        <v>1261</v>
      </c>
      <c r="C20" s="218"/>
      <c r="D20" s="307"/>
      <c r="F20" s="307"/>
      <c r="H20" s="307"/>
      <c r="J20" s="307"/>
      <c r="K20" s="2833"/>
      <c r="L20" s="307"/>
      <c r="M20" s="2833"/>
      <c r="N20" s="307"/>
      <c r="O20" s="2833"/>
      <c r="P20" s="307"/>
      <c r="Q20" s="2833"/>
      <c r="R20" s="307"/>
      <c r="S20" s="2833"/>
      <c r="T20" s="307"/>
      <c r="U20" s="2833"/>
      <c r="V20" s="307"/>
      <c r="W20" s="2833"/>
      <c r="X20" s="307"/>
      <c r="Y20" s="2833"/>
      <c r="Z20" s="307"/>
      <c r="AA20" s="307"/>
      <c r="AB20" s="254"/>
      <c r="AC20" s="244"/>
      <c r="AD20" s="1587"/>
      <c r="AE20" s="1587"/>
      <c r="AF20" s="252"/>
      <c r="AG20" s="301"/>
      <c r="AH20" s="498"/>
      <c r="AI20" s="264"/>
      <c r="AJ20" s="1587"/>
      <c r="AK20" s="399"/>
      <c r="AL20" s="489"/>
    </row>
    <row r="21" spans="1:38" ht="15" customHeight="1">
      <c r="A21" s="218"/>
      <c r="B21" s="1805" t="s">
        <v>1211</v>
      </c>
      <c r="C21" s="218"/>
      <c r="D21" s="1544">
        <f>'Exhibit G state'!D20</f>
        <v>98.2</v>
      </c>
      <c r="E21" s="2502"/>
      <c r="F21" s="1544"/>
      <c r="G21" s="2502"/>
      <c r="H21" s="1544"/>
      <c r="J21" s="1544"/>
      <c r="K21" s="2833"/>
      <c r="L21" s="1544"/>
      <c r="M21" s="2833"/>
      <c r="N21" s="1544"/>
      <c r="O21" s="2833"/>
      <c r="P21" s="1544"/>
      <c r="Q21" s="2833"/>
      <c r="R21" s="1544"/>
      <c r="S21" s="2833"/>
      <c r="T21" s="1544"/>
      <c r="U21" s="2833"/>
      <c r="V21" s="1544"/>
      <c r="W21" s="2833"/>
      <c r="X21" s="1544"/>
      <c r="Y21" s="2833"/>
      <c r="Z21" s="1544"/>
      <c r="AA21" s="1544"/>
      <c r="AB21" s="254">
        <v>0</v>
      </c>
      <c r="AC21" s="244"/>
      <c r="AD21" s="254">
        <f>ROUND(SUM(D21:Z21),1)</f>
        <v>98.2</v>
      </c>
      <c r="AE21" s="254"/>
      <c r="AF21" s="244"/>
      <c r="AG21" s="1206">
        <f>'Exhibit G state'!AG20</f>
        <v>92.5</v>
      </c>
      <c r="AH21" s="491"/>
      <c r="AI21" s="243"/>
      <c r="AJ21" s="1042">
        <f t="shared" ref="AJ21:AJ28" si="0">ROUND(SUM(+AD21-AG21),1)</f>
        <v>5.7</v>
      </c>
      <c r="AK21" s="242"/>
      <c r="AL21" s="1565">
        <f t="shared" ref="AL21:AL28" si="1">ROUND(IF(AG21=0,0,AJ21/ABS(AG21)),3)</f>
        <v>6.2E-2</v>
      </c>
    </row>
    <row r="22" spans="1:38" ht="15" customHeight="1">
      <c r="A22" s="218"/>
      <c r="B22" s="1805" t="s">
        <v>1212</v>
      </c>
      <c r="C22" s="218"/>
      <c r="D22" s="1544">
        <f>'Exhibit G state'!D21</f>
        <v>0.9</v>
      </c>
      <c r="E22" s="2502"/>
      <c r="F22" s="1544"/>
      <c r="G22" s="2502"/>
      <c r="H22" s="1544"/>
      <c r="J22" s="1544"/>
      <c r="K22" s="2833"/>
      <c r="L22" s="1544"/>
      <c r="M22" s="2833"/>
      <c r="N22" s="1544"/>
      <c r="O22" s="2833"/>
      <c r="P22" s="1544"/>
      <c r="Q22" s="2833"/>
      <c r="R22" s="1544"/>
      <c r="S22" s="2833"/>
      <c r="T22" s="1544"/>
      <c r="U22" s="2833"/>
      <c r="V22" s="1544"/>
      <c r="W22" s="2833"/>
      <c r="X22" s="1544"/>
      <c r="Y22" s="2833"/>
      <c r="Z22" s="1544"/>
      <c r="AA22" s="1544"/>
      <c r="AB22" s="254">
        <v>0</v>
      </c>
      <c r="AC22" s="244"/>
      <c r="AD22" s="254">
        <f>ROUND(SUM(D22:Z22),1)</f>
        <v>0.9</v>
      </c>
      <c r="AE22" s="254"/>
      <c r="AF22" s="244"/>
      <c r="AG22" s="1206">
        <f>'Exhibit G state'!AG21</f>
        <v>3.7</v>
      </c>
      <c r="AH22" s="491"/>
      <c r="AI22" s="243"/>
      <c r="AJ22" s="1042">
        <f t="shared" si="0"/>
        <v>-2.8</v>
      </c>
      <c r="AK22" s="242"/>
      <c r="AL22" s="1565">
        <f t="shared" si="1"/>
        <v>-0.75700000000000001</v>
      </c>
    </row>
    <row r="23" spans="1:38" ht="15" customHeight="1">
      <c r="A23" s="218"/>
      <c r="B23" s="1805" t="s">
        <v>1213</v>
      </c>
      <c r="C23" s="218"/>
      <c r="D23" s="1544">
        <f>'Exhibit G state'!D22</f>
        <v>63.6</v>
      </c>
      <c r="E23" s="2502"/>
      <c r="F23" s="1544"/>
      <c r="G23" s="2502"/>
      <c r="H23" s="1544"/>
      <c r="J23" s="1544"/>
      <c r="K23" s="2833"/>
      <c r="L23" s="1544"/>
      <c r="M23" s="2833"/>
      <c r="N23" s="1544"/>
      <c r="O23" s="2833"/>
      <c r="P23" s="1544"/>
      <c r="Q23" s="2833"/>
      <c r="R23" s="1544"/>
      <c r="S23" s="2833"/>
      <c r="T23" s="1544"/>
      <c r="U23" s="2833"/>
      <c r="V23" s="1544"/>
      <c r="W23" s="2833"/>
      <c r="X23" s="1544"/>
      <c r="Y23" s="2833"/>
      <c r="Z23" s="1544"/>
      <c r="AA23" s="1544"/>
      <c r="AB23" s="254">
        <v>0</v>
      </c>
      <c r="AC23" s="244"/>
      <c r="AD23" s="254">
        <f t="shared" ref="AD23:AD28" si="2">ROUND(SUM(D23:Z23),1)</f>
        <v>63.6</v>
      </c>
      <c r="AE23" s="254"/>
      <c r="AF23" s="244"/>
      <c r="AG23" s="1206">
        <f>'Exhibit G state'!AG22</f>
        <v>64.099999999999994</v>
      </c>
      <c r="AH23" s="491"/>
      <c r="AI23" s="243"/>
      <c r="AJ23" s="1042">
        <f t="shared" si="0"/>
        <v>-0.5</v>
      </c>
      <c r="AK23" s="242"/>
      <c r="AL23" s="1565">
        <f t="shared" si="1"/>
        <v>-8.0000000000000002E-3</v>
      </c>
    </row>
    <row r="24" spans="1:38" ht="15" customHeight="1">
      <c r="A24" s="218"/>
      <c r="B24" s="1132" t="s">
        <v>1377</v>
      </c>
      <c r="C24" s="218"/>
      <c r="D24" s="1544">
        <f>'Exhibit G state'!D23</f>
        <v>0.2</v>
      </c>
      <c r="E24" s="2502"/>
      <c r="F24" s="1544"/>
      <c r="G24" s="2502"/>
      <c r="H24" s="1544"/>
      <c r="J24" s="1544"/>
      <c r="K24" s="2833"/>
      <c r="L24" s="1544"/>
      <c r="M24" s="2833"/>
      <c r="N24" s="1544"/>
      <c r="O24" s="2833"/>
      <c r="P24" s="1544"/>
      <c r="Q24" s="2833"/>
      <c r="R24" s="1544"/>
      <c r="S24" s="2833"/>
      <c r="T24" s="1544"/>
      <c r="U24" s="2833"/>
      <c r="V24" s="1544"/>
      <c r="W24" s="2833"/>
      <c r="X24" s="1544"/>
      <c r="Y24" s="2833"/>
      <c r="Z24" s="1544"/>
      <c r="AA24" s="1544"/>
      <c r="AB24" s="254">
        <v>0</v>
      </c>
      <c r="AC24" s="244"/>
      <c r="AD24" s="254">
        <f t="shared" si="2"/>
        <v>0.2</v>
      </c>
      <c r="AE24" s="254"/>
      <c r="AF24" s="244"/>
      <c r="AG24" s="1206">
        <f>'Exhibit G state'!AG23</f>
        <v>0.1</v>
      </c>
      <c r="AH24" s="491"/>
      <c r="AI24" s="243"/>
      <c r="AJ24" s="2502">
        <f>ROUND(SUM(+AD24-AG24),1)</f>
        <v>0.1</v>
      </c>
      <c r="AK24" s="242"/>
      <c r="AL24" s="2324">
        <f>ROUND(IF(AG24=0,1,AJ24/ABS(AG24)),3)</f>
        <v>1</v>
      </c>
    </row>
    <row r="25" spans="1:38" ht="15" customHeight="1">
      <c r="A25" s="218"/>
      <c r="B25" s="1805" t="s">
        <v>1214</v>
      </c>
      <c r="C25" s="218"/>
      <c r="D25" s="1544">
        <f>'Exhibit G state'!D24</f>
        <v>7.9</v>
      </c>
      <c r="E25" s="2502"/>
      <c r="F25" s="1544"/>
      <c r="G25" s="2502"/>
      <c r="H25" s="1544"/>
      <c r="J25" s="1544"/>
      <c r="K25" s="2833"/>
      <c r="L25" s="1544"/>
      <c r="M25" s="2833"/>
      <c r="N25" s="1544"/>
      <c r="O25" s="2833"/>
      <c r="P25" s="1544"/>
      <c r="Q25" s="2833"/>
      <c r="R25" s="1544"/>
      <c r="S25" s="2833"/>
      <c r="T25" s="1544"/>
      <c r="U25" s="2833"/>
      <c r="V25" s="1544"/>
      <c r="W25" s="2833"/>
      <c r="X25" s="1544"/>
      <c r="Y25" s="2833"/>
      <c r="Z25" s="1544"/>
      <c r="AA25" s="1544"/>
      <c r="AB25" s="254">
        <v>0</v>
      </c>
      <c r="AC25" s="244"/>
      <c r="AD25" s="254">
        <f t="shared" si="2"/>
        <v>7.9</v>
      </c>
      <c r="AE25" s="254"/>
      <c r="AF25" s="244"/>
      <c r="AG25" s="1206">
        <f>'Exhibit G state'!AG24</f>
        <v>8.6</v>
      </c>
      <c r="AH25" s="491"/>
      <c r="AI25" s="243"/>
      <c r="AJ25" s="1042">
        <f t="shared" si="0"/>
        <v>-0.7</v>
      </c>
      <c r="AK25" s="242"/>
      <c r="AL25" s="1565">
        <f t="shared" si="1"/>
        <v>-8.1000000000000003E-2</v>
      </c>
    </row>
    <row r="26" spans="1:38" ht="15" customHeight="1">
      <c r="A26" s="218"/>
      <c r="B26" s="1805" t="s">
        <v>1215</v>
      </c>
      <c r="C26" s="218"/>
      <c r="D26" s="1544">
        <f>'Exhibit G state'!D25</f>
        <v>0</v>
      </c>
      <c r="E26" s="2502"/>
      <c r="F26" s="1544"/>
      <c r="G26" s="2502"/>
      <c r="H26" s="1544"/>
      <c r="J26" s="1544"/>
      <c r="K26" s="2833"/>
      <c r="L26" s="1544"/>
      <c r="M26" s="2833"/>
      <c r="N26" s="1544"/>
      <c r="O26" s="2833"/>
      <c r="P26" s="1544"/>
      <c r="Q26" s="2833"/>
      <c r="R26" s="1544"/>
      <c r="S26" s="2833"/>
      <c r="T26" s="1544"/>
      <c r="U26" s="2833"/>
      <c r="V26" s="1544"/>
      <c r="W26" s="2833"/>
      <c r="X26" s="1544"/>
      <c r="Y26" s="2833"/>
      <c r="Z26" s="1544"/>
      <c r="AA26" s="1544"/>
      <c r="AB26" s="254">
        <v>0</v>
      </c>
      <c r="AC26" s="244"/>
      <c r="AD26" s="254">
        <f t="shared" si="2"/>
        <v>0</v>
      </c>
      <c r="AE26" s="254"/>
      <c r="AF26" s="244"/>
      <c r="AG26" s="1206">
        <f>'Exhibit G state'!AG25</f>
        <v>0</v>
      </c>
      <c r="AH26" s="491"/>
      <c r="AI26" s="243"/>
      <c r="AJ26" s="1042">
        <f t="shared" si="0"/>
        <v>0</v>
      </c>
      <c r="AK26" s="242"/>
      <c r="AL26" s="1565">
        <f t="shared" si="1"/>
        <v>0</v>
      </c>
    </row>
    <row r="27" spans="1:38" ht="15" customHeight="1">
      <c r="A27" s="218"/>
      <c r="B27" s="1805" t="s">
        <v>1216</v>
      </c>
      <c r="C27" s="218"/>
      <c r="D27" s="1544">
        <f>'Exhibit G state'!D26</f>
        <v>2.8</v>
      </c>
      <c r="E27" s="2502"/>
      <c r="F27" s="1544"/>
      <c r="G27" s="2502"/>
      <c r="H27" s="1544"/>
      <c r="J27" s="1544"/>
      <c r="K27" s="2833"/>
      <c r="L27" s="1544"/>
      <c r="M27" s="2833"/>
      <c r="N27" s="1544"/>
      <c r="O27" s="2833"/>
      <c r="P27" s="1544"/>
      <c r="Q27" s="2833"/>
      <c r="R27" s="1544"/>
      <c r="S27" s="2833"/>
      <c r="T27" s="1544"/>
      <c r="U27" s="2833"/>
      <c r="V27" s="1544"/>
      <c r="W27" s="2833"/>
      <c r="X27" s="1544"/>
      <c r="Y27" s="2833"/>
      <c r="Z27" s="1544"/>
      <c r="AA27" s="1544"/>
      <c r="AB27" s="254">
        <v>0</v>
      </c>
      <c r="AC27" s="244"/>
      <c r="AD27" s="254">
        <f t="shared" si="2"/>
        <v>2.8</v>
      </c>
      <c r="AE27" s="254"/>
      <c r="AF27" s="244"/>
      <c r="AG27" s="1206">
        <f>'Exhibit G state'!AG26</f>
        <v>0.1</v>
      </c>
      <c r="AH27" s="491"/>
      <c r="AI27" s="243"/>
      <c r="AJ27" s="1042">
        <f t="shared" si="0"/>
        <v>2.7</v>
      </c>
      <c r="AK27" s="242"/>
      <c r="AL27" s="2372">
        <f>ROUND(IF(AG27=0,1,AJ27/ABS(AG27)),3)</f>
        <v>27</v>
      </c>
    </row>
    <row r="28" spans="1:38" ht="15" customHeight="1">
      <c r="A28" s="218"/>
      <c r="B28" s="1807" t="s">
        <v>1217</v>
      </c>
      <c r="C28" s="218"/>
      <c r="D28" s="1544">
        <f>'Exhibit G state'!D27</f>
        <v>12.8</v>
      </c>
      <c r="E28" s="2502"/>
      <c r="F28" s="1544"/>
      <c r="G28" s="2502"/>
      <c r="H28" s="1544"/>
      <c r="J28" s="1544"/>
      <c r="K28" s="2833"/>
      <c r="L28" s="1544"/>
      <c r="M28" s="2833"/>
      <c r="N28" s="1544"/>
      <c r="O28" s="2833"/>
      <c r="P28" s="1544"/>
      <c r="Q28" s="2833"/>
      <c r="R28" s="1544"/>
      <c r="S28" s="2833"/>
      <c r="T28" s="1544"/>
      <c r="U28" s="2833"/>
      <c r="V28" s="1544"/>
      <c r="W28" s="2833"/>
      <c r="X28" s="1544"/>
      <c r="Y28" s="2833"/>
      <c r="Z28" s="1544"/>
      <c r="AA28" s="1544"/>
      <c r="AB28" s="254">
        <v>0</v>
      </c>
      <c r="AC28" s="244"/>
      <c r="AD28" s="254">
        <f t="shared" si="2"/>
        <v>12.8</v>
      </c>
      <c r="AE28" s="254"/>
      <c r="AF28" s="244"/>
      <c r="AG28" s="1206">
        <f>'Exhibit G state'!AG27</f>
        <v>13.4</v>
      </c>
      <c r="AH28" s="491"/>
      <c r="AI28" s="243"/>
      <c r="AJ28" s="1042">
        <f t="shared" si="0"/>
        <v>-0.6</v>
      </c>
      <c r="AK28" s="242"/>
      <c r="AL28" s="2324">
        <f t="shared" si="1"/>
        <v>-4.4999999999999998E-2</v>
      </c>
    </row>
    <row r="29" spans="1:38" s="399" customFormat="1" ht="15" customHeight="1">
      <c r="A29" s="216"/>
      <c r="B29" s="1806" t="s">
        <v>1341</v>
      </c>
      <c r="C29" s="216"/>
      <c r="D29" s="249">
        <f t="shared" ref="D29" si="3">ROUND(SUM(D21:D28),1)</f>
        <v>186.4</v>
      </c>
      <c r="E29"/>
      <c r="F29" s="3045">
        <f>ROUND(SUM(F21:F28),1)</f>
        <v>0</v>
      </c>
      <c r="G29"/>
      <c r="H29" s="3045">
        <f>ROUND(SUM(H21:H28),1)</f>
        <v>0</v>
      </c>
      <c r="I29"/>
      <c r="J29" s="3045">
        <f>ROUND(SUM(J21:J28),1)</f>
        <v>0</v>
      </c>
      <c r="K29"/>
      <c r="L29" s="249">
        <f t="shared" ref="L29:AB29" si="4">ROUND(SUM(L21:L28),1)</f>
        <v>0</v>
      </c>
      <c r="M29"/>
      <c r="N29" s="249">
        <f>ROUND(SUM(N21:N28),1)</f>
        <v>0</v>
      </c>
      <c r="O29"/>
      <c r="P29" s="249">
        <f>ROUND(SUM(P21:P28),1)</f>
        <v>0</v>
      </c>
      <c r="Q29"/>
      <c r="R29" s="249">
        <f t="shared" ref="R29" si="5">ROUND(SUM(R21:R28),1)</f>
        <v>0</v>
      </c>
      <c r="S29"/>
      <c r="T29" s="249">
        <f t="shared" si="4"/>
        <v>0</v>
      </c>
      <c r="U29"/>
      <c r="V29" s="249">
        <f t="shared" si="4"/>
        <v>0</v>
      </c>
      <c r="W29"/>
      <c r="X29" s="249">
        <f t="shared" ref="X29:Z29" si="6">ROUND(SUM(X21:X28),1)</f>
        <v>0</v>
      </c>
      <c r="Y29"/>
      <c r="Z29" s="249">
        <f t="shared" si="6"/>
        <v>0</v>
      </c>
      <c r="AA29" s="2503"/>
      <c r="AB29" s="249">
        <f t="shared" si="4"/>
        <v>0</v>
      </c>
      <c r="AC29" s="252"/>
      <c r="AD29" s="249">
        <f>ROUND(SUM(AD21:AD28),1)</f>
        <v>186.4</v>
      </c>
      <c r="AE29" s="1587"/>
      <c r="AF29" s="252"/>
      <c r="AG29" s="249">
        <f>ROUND(SUM(AG21:AG28),1)</f>
        <v>182.5</v>
      </c>
      <c r="AH29" s="498"/>
      <c r="AI29" s="264"/>
      <c r="AJ29" s="249">
        <f>ROUND(SUM(AJ21:AJ28),1)</f>
        <v>3.9</v>
      </c>
      <c r="AL29" s="3712">
        <f>ROUND(SUM(+AJ29/AG29),3)</f>
        <v>2.1000000000000001E-2</v>
      </c>
    </row>
    <row r="30" spans="1:38" ht="15" customHeight="1">
      <c r="A30" s="218"/>
      <c r="B30" s="2017" t="s">
        <v>1262</v>
      </c>
      <c r="C30" s="218"/>
      <c r="D30" s="254"/>
      <c r="F30" s="2502"/>
      <c r="H30" s="2502"/>
      <c r="J30" s="2502"/>
      <c r="L30" s="254"/>
      <c r="N30" s="254"/>
      <c r="P30" s="254"/>
      <c r="R30" s="254"/>
      <c r="T30" s="254"/>
      <c r="V30" s="254"/>
      <c r="X30" s="254"/>
      <c r="Z30" s="254"/>
      <c r="AA30" s="254"/>
      <c r="AB30" s="254"/>
      <c r="AC30" s="244"/>
      <c r="AD30" s="254"/>
      <c r="AE30" s="254"/>
      <c r="AF30" s="244"/>
      <c r="AG30" s="254"/>
      <c r="AH30" s="491"/>
      <c r="AI30" s="243"/>
      <c r="AJ30" s="1042"/>
      <c r="AL30" s="2316"/>
    </row>
    <row r="31" spans="1:38" s="295" customFormat="1" ht="15" customHeight="1">
      <c r="A31" s="296"/>
      <c r="B31" s="1805" t="s">
        <v>1219</v>
      </c>
      <c r="C31" s="296"/>
      <c r="D31" s="307">
        <f>'Exhibit G state'!D30</f>
        <v>120.8</v>
      </c>
      <c r="E31" s="2502"/>
      <c r="F31" s="307"/>
      <c r="G31" s="2502"/>
      <c r="H31" s="307"/>
      <c r="I31"/>
      <c r="J31" s="307"/>
      <c r="K31" s="2833"/>
      <c r="L31" s="307"/>
      <c r="M31" s="2833"/>
      <c r="N31" s="307"/>
      <c r="O31" s="2833"/>
      <c r="P31" s="307"/>
      <c r="Q31" s="2833"/>
      <c r="R31" s="307"/>
      <c r="S31" s="2833"/>
      <c r="T31" s="307"/>
      <c r="U31" s="2833"/>
      <c r="V31" s="307"/>
      <c r="W31" s="2833"/>
      <c r="X31" s="307"/>
      <c r="Y31" s="2833"/>
      <c r="Z31" s="307"/>
      <c r="AA31" s="307"/>
      <c r="AB31" s="307">
        <v>0</v>
      </c>
      <c r="AC31" s="1145"/>
      <c r="AD31" s="307">
        <f>ROUND(SUM(D31:Z31),1)</f>
        <v>120.8</v>
      </c>
      <c r="AE31" s="307"/>
      <c r="AF31" s="1145"/>
      <c r="AG31" s="307">
        <f>'Exhibit G state'!AG30</f>
        <v>83.7</v>
      </c>
      <c r="AH31" s="1795"/>
      <c r="AI31" s="255"/>
      <c r="AJ31" s="1544">
        <f>ROUND(SUM(+AD31-AG31),1)</f>
        <v>37.1</v>
      </c>
      <c r="AK31" s="494"/>
      <c r="AL31" s="2843">
        <f>ROUND(IF(AG31=0,0,AJ31/ABS(AG31)),3)</f>
        <v>0.443</v>
      </c>
    </row>
    <row r="32" spans="1:38" s="295" customFormat="1" ht="15" customHeight="1">
      <c r="A32" s="296"/>
      <c r="B32" s="1805" t="s">
        <v>1220</v>
      </c>
      <c r="C32" s="296"/>
      <c r="D32" s="307">
        <f>'Exhibit G state'!D31</f>
        <v>23.6</v>
      </c>
      <c r="E32" s="2502"/>
      <c r="F32" s="307"/>
      <c r="G32" s="2502"/>
      <c r="H32" s="307"/>
      <c r="I32"/>
      <c r="J32" s="307"/>
      <c r="K32" s="2833"/>
      <c r="L32" s="307"/>
      <c r="M32" s="2833"/>
      <c r="N32" s="307"/>
      <c r="O32" s="2833"/>
      <c r="P32" s="307"/>
      <c r="Q32" s="2833"/>
      <c r="R32" s="307"/>
      <c r="S32" s="2833"/>
      <c r="T32" s="307"/>
      <c r="U32" s="2833"/>
      <c r="V32" s="307"/>
      <c r="W32" s="2833"/>
      <c r="X32" s="307"/>
      <c r="Y32" s="2833"/>
      <c r="Z32" s="307"/>
      <c r="AA32" s="307"/>
      <c r="AB32" s="307">
        <v>0</v>
      </c>
      <c r="AC32" s="1145"/>
      <c r="AD32" s="307">
        <f>ROUND(SUM(D32:Z32),1)</f>
        <v>23.6</v>
      </c>
      <c r="AE32" s="307"/>
      <c r="AF32" s="1145"/>
      <c r="AG32" s="307">
        <f>'Exhibit G state'!AG31</f>
        <v>9.3000000000000007</v>
      </c>
      <c r="AH32" s="1795"/>
      <c r="AI32" s="255"/>
      <c r="AJ32" s="1544">
        <f>ROUND(SUM(+AD32-AG32),1)</f>
        <v>14.3</v>
      </c>
      <c r="AK32" s="494"/>
      <c r="AL32" s="2843">
        <f>ROUND(IF(AG32=0,0,AJ32/ABS(AG32)),3)</f>
        <v>1.538</v>
      </c>
    </row>
    <row r="33" spans="1:38" s="295" customFormat="1" ht="15" customHeight="1">
      <c r="A33" s="296"/>
      <c r="B33" s="1805" t="s">
        <v>1221</v>
      </c>
      <c r="C33" s="296"/>
      <c r="D33" s="307">
        <f>'Exhibit G state'!D32</f>
        <v>4.8</v>
      </c>
      <c r="E33" s="2502"/>
      <c r="F33" s="307"/>
      <c r="G33" s="2502"/>
      <c r="H33" s="307"/>
      <c r="I33"/>
      <c r="J33" s="307"/>
      <c r="K33" s="2833"/>
      <c r="L33" s="307"/>
      <c r="M33" s="2833"/>
      <c r="N33" s="307"/>
      <c r="O33" s="2833"/>
      <c r="P33" s="307"/>
      <c r="Q33" s="2833"/>
      <c r="R33" s="307"/>
      <c r="S33" s="2833"/>
      <c r="T33" s="307"/>
      <c r="U33" s="2833"/>
      <c r="V33" s="307"/>
      <c r="W33" s="2833"/>
      <c r="X33" s="307"/>
      <c r="Y33" s="2833"/>
      <c r="Z33" s="307"/>
      <c r="AA33" s="307"/>
      <c r="AB33" s="307">
        <v>0</v>
      </c>
      <c r="AC33" s="1145"/>
      <c r="AD33" s="307">
        <f>ROUND(SUM(D33:Z33),1)</f>
        <v>4.8</v>
      </c>
      <c r="AE33" s="307"/>
      <c r="AF33" s="1145"/>
      <c r="AG33" s="307">
        <f>'Exhibit G state'!AG32</f>
        <v>5.2</v>
      </c>
      <c r="AH33" s="1795"/>
      <c r="AI33" s="255"/>
      <c r="AJ33" s="1544">
        <f>ROUND(SUM(+AD33-AG33),1)</f>
        <v>-0.4</v>
      </c>
      <c r="AK33" s="494"/>
      <c r="AL33" s="2849">
        <f>ROUND(IF(AG33=0,0,AJ33/ABS(AG33)),3)</f>
        <v>-7.6999999999999999E-2</v>
      </c>
    </row>
    <row r="34" spans="1:38" s="295" customFormat="1" ht="15" customHeight="1">
      <c r="A34" s="296"/>
      <c r="B34" s="1805" t="s">
        <v>1222</v>
      </c>
      <c r="C34" s="296"/>
      <c r="D34" s="307">
        <f>'Exhibit G state'!D33</f>
        <v>-2.6999999999999997</v>
      </c>
      <c r="E34" s="2502"/>
      <c r="F34" s="307"/>
      <c r="G34" s="2502"/>
      <c r="H34" s="307"/>
      <c r="I34"/>
      <c r="J34" s="307"/>
      <c r="K34" s="2833"/>
      <c r="L34" s="307"/>
      <c r="M34" s="2833"/>
      <c r="N34" s="307"/>
      <c r="O34" s="2833"/>
      <c r="P34" s="307"/>
      <c r="Q34" s="2833"/>
      <c r="R34" s="307"/>
      <c r="S34" s="2833"/>
      <c r="T34" s="307"/>
      <c r="U34" s="2833"/>
      <c r="V34" s="307"/>
      <c r="W34" s="2833"/>
      <c r="X34" s="307"/>
      <c r="Y34" s="2833"/>
      <c r="Z34" s="307"/>
      <c r="AA34" s="307"/>
      <c r="AB34" s="307">
        <v>0</v>
      </c>
      <c r="AC34" s="1145"/>
      <c r="AD34" s="307">
        <f>ROUND(SUM(D34:Z34),1)</f>
        <v>-2.7</v>
      </c>
      <c r="AE34" s="307"/>
      <c r="AF34" s="1145"/>
      <c r="AG34" s="307">
        <f>'Exhibit G state'!AG33</f>
        <v>0.1</v>
      </c>
      <c r="AH34" s="1795"/>
      <c r="AI34" s="255"/>
      <c r="AJ34" s="1544">
        <f>ROUND(SUM(+AD34-AG34),1)</f>
        <v>-2.8</v>
      </c>
      <c r="AK34" s="494"/>
      <c r="AL34" s="2849">
        <f>ROUND(IF(AG34=0,0,AJ34/ABS(AG34)),3)</f>
        <v>-28</v>
      </c>
    </row>
    <row r="35" spans="1:38" s="295" customFormat="1" ht="15" customHeight="1">
      <c r="A35" s="296"/>
      <c r="B35" s="1805" t="s">
        <v>1223</v>
      </c>
      <c r="C35" s="296"/>
      <c r="D35" s="307">
        <f>'Exhibit G state'!D34</f>
        <v>25.5</v>
      </c>
      <c r="E35" s="2502"/>
      <c r="F35" s="307"/>
      <c r="G35" s="2502"/>
      <c r="H35" s="307"/>
      <c r="I35"/>
      <c r="J35" s="307"/>
      <c r="K35" s="2833"/>
      <c r="L35" s="307"/>
      <c r="M35" s="2833"/>
      <c r="N35" s="307"/>
      <c r="O35" s="2833"/>
      <c r="P35" s="307"/>
      <c r="Q35" s="2833"/>
      <c r="R35" s="307"/>
      <c r="S35" s="2833"/>
      <c r="T35" s="307"/>
      <c r="U35" s="2833"/>
      <c r="V35" s="307"/>
      <c r="W35" s="2833"/>
      <c r="X35" s="307"/>
      <c r="Y35" s="2833"/>
      <c r="Z35" s="307"/>
      <c r="AA35" s="307"/>
      <c r="AB35" s="307">
        <v>0</v>
      </c>
      <c r="AC35" s="1145"/>
      <c r="AD35" s="307">
        <f>ROUND(SUM(D35:Z35),1)</f>
        <v>25.5</v>
      </c>
      <c r="AE35" s="307"/>
      <c r="AF35" s="1145"/>
      <c r="AG35" s="307">
        <f>'Exhibit G state'!AG34</f>
        <v>36.799999999999997</v>
      </c>
      <c r="AH35" s="1795"/>
      <c r="AI35" s="255"/>
      <c r="AJ35" s="1544">
        <f>ROUND(SUM(+AD35-AG35),1)</f>
        <v>-11.3</v>
      </c>
      <c r="AK35" s="494"/>
      <c r="AL35" s="2844">
        <f>ROUND(IF(AG35=0,0,AJ35/ABS(AG35)),3)</f>
        <v>-0.307</v>
      </c>
    </row>
    <row r="36" spans="1:38" s="399" customFormat="1" ht="15" customHeight="1">
      <c r="A36" s="216"/>
      <c r="B36" s="1806" t="s">
        <v>1342</v>
      </c>
      <c r="C36" s="216"/>
      <c r="D36" s="249">
        <f t="shared" ref="D36" si="7">ROUND(SUM(D31:D35),1)</f>
        <v>172</v>
      </c>
      <c r="E36"/>
      <c r="F36" s="3045">
        <f>ROUND(SUM(F31:F35),1)</f>
        <v>0</v>
      </c>
      <c r="G36"/>
      <c r="H36" s="3045">
        <f>ROUND(SUM(H31:H35),1)</f>
        <v>0</v>
      </c>
      <c r="I36"/>
      <c r="J36" s="3045">
        <f>ROUND(SUM(J31:J35),1)</f>
        <v>0</v>
      </c>
      <c r="K36"/>
      <c r="L36" s="249">
        <f t="shared" ref="L36:V36" si="8">ROUND(SUM(L31:L35),1)</f>
        <v>0</v>
      </c>
      <c r="M36"/>
      <c r="N36" s="249">
        <f t="shared" ref="N36:P36" si="9">ROUND(SUM(N31:N35),1)</f>
        <v>0</v>
      </c>
      <c r="O36"/>
      <c r="P36" s="249">
        <f t="shared" si="9"/>
        <v>0</v>
      </c>
      <c r="Q36"/>
      <c r="R36" s="249">
        <f t="shared" ref="R36" si="10">ROUND(SUM(R31:R35),1)</f>
        <v>0</v>
      </c>
      <c r="S36"/>
      <c r="T36" s="249">
        <f t="shared" si="8"/>
        <v>0</v>
      </c>
      <c r="U36"/>
      <c r="V36" s="249">
        <f t="shared" si="8"/>
        <v>0</v>
      </c>
      <c r="W36"/>
      <c r="X36" s="249">
        <f t="shared" ref="X36:Z36" si="11">ROUND(SUM(X31:X35),1)</f>
        <v>0</v>
      </c>
      <c r="Y36"/>
      <c r="Z36" s="249">
        <f t="shared" si="11"/>
        <v>0</v>
      </c>
      <c r="AA36" s="2503"/>
      <c r="AB36" s="249">
        <f>SUM(AB31:AB35)</f>
        <v>0</v>
      </c>
      <c r="AC36" s="252"/>
      <c r="AD36" s="249">
        <f>ROUND(SUM(AD31:AD35),1)</f>
        <v>172</v>
      </c>
      <c r="AE36" s="1587"/>
      <c r="AF36" s="252"/>
      <c r="AG36" s="249">
        <f>ROUND(SUM(AG31:AG35),1)</f>
        <v>135.1</v>
      </c>
      <c r="AH36" s="498"/>
      <c r="AI36" s="264"/>
      <c r="AJ36" s="249">
        <f>ROUND(SUM(AJ31:AJ35),1)</f>
        <v>36.9</v>
      </c>
      <c r="AL36" s="503">
        <f>ROUND(SUM(+AJ36/AG36),3)</f>
        <v>0.27300000000000002</v>
      </c>
    </row>
    <row r="37" spans="1:38" ht="15" customHeight="1">
      <c r="A37" s="218"/>
      <c r="B37" s="2017" t="s">
        <v>1263</v>
      </c>
      <c r="C37" s="218"/>
      <c r="D37" s="254"/>
      <c r="F37" s="2502"/>
      <c r="H37" s="2502"/>
      <c r="J37" s="2502"/>
      <c r="L37" s="254"/>
      <c r="N37" s="254"/>
      <c r="P37" s="254"/>
      <c r="R37" s="254"/>
      <c r="T37" s="254"/>
      <c r="V37" s="254"/>
      <c r="X37" s="254"/>
      <c r="Z37" s="254"/>
      <c r="AA37" s="254"/>
      <c r="AB37" s="254"/>
      <c r="AC37" s="244"/>
      <c r="AD37" s="254"/>
      <c r="AE37" s="254"/>
      <c r="AF37" s="244"/>
      <c r="AG37" s="254"/>
      <c r="AH37" s="491"/>
      <c r="AI37" s="243"/>
      <c r="AJ37" s="1042"/>
      <c r="AL37" s="1629"/>
    </row>
    <row r="38" spans="1:38" s="295" customFormat="1" ht="15" customHeight="1">
      <c r="A38" s="296"/>
      <c r="B38" s="1807" t="s">
        <v>1231</v>
      </c>
      <c r="C38" s="296"/>
      <c r="D38" s="307">
        <f>'Exhibit G state'!D37</f>
        <v>0</v>
      </c>
      <c r="E38" s="2502"/>
      <c r="F38" s="307"/>
      <c r="G38" s="2502"/>
      <c r="H38" s="307"/>
      <c r="I38"/>
      <c r="J38" s="307"/>
      <c r="K38" s="2833"/>
      <c r="L38" s="307"/>
      <c r="M38" s="2833"/>
      <c r="N38" s="307"/>
      <c r="O38" s="2833"/>
      <c r="P38" s="307"/>
      <c r="Q38" s="2833"/>
      <c r="R38" s="307"/>
      <c r="S38" s="2833"/>
      <c r="T38" s="307"/>
      <c r="U38" s="2833"/>
      <c r="V38" s="307"/>
      <c r="W38" s="2833"/>
      <c r="X38" s="307"/>
      <c r="Y38" s="2833"/>
      <c r="Z38" s="307"/>
      <c r="AA38" s="307"/>
      <c r="AB38" s="307">
        <v>0</v>
      </c>
      <c r="AC38" s="1145"/>
      <c r="AD38" s="307">
        <f>ROUND(SUM(D38:Z38),1)</f>
        <v>0</v>
      </c>
      <c r="AE38" s="307"/>
      <c r="AF38" s="1145"/>
      <c r="AG38" s="307">
        <f>'Exhibit G state'!AG37</f>
        <v>120.2</v>
      </c>
      <c r="AH38" s="1795"/>
      <c r="AI38" s="255"/>
      <c r="AJ38" s="1544">
        <f>ROUND(SUM(+AD38-AG38),1)</f>
        <v>-120.2</v>
      </c>
      <c r="AK38" s="494"/>
      <c r="AL38" s="2844">
        <f>ROUND(IF(AG38=0,0,AJ38/ABS(AG38)),3)</f>
        <v>-1</v>
      </c>
    </row>
    <row r="39" spans="1:38" s="399" customFormat="1" ht="15" customHeight="1">
      <c r="A39" s="216"/>
      <c r="B39" s="1806" t="s">
        <v>1343</v>
      </c>
      <c r="C39" s="216"/>
      <c r="D39" s="463">
        <f>ROUND(SUM(D38:D38),1)</f>
        <v>0</v>
      </c>
      <c r="E39"/>
      <c r="F39" s="3045">
        <f>ROUND(SUM(F38:F38),1)</f>
        <v>0</v>
      </c>
      <c r="G39"/>
      <c r="H39" s="3045">
        <f>ROUND(SUM(H38:H38),1)</f>
        <v>0</v>
      </c>
      <c r="I39"/>
      <c r="J39" s="3045">
        <f>ROUND(SUM(J38:J38),1)</f>
        <v>0</v>
      </c>
      <c r="K39"/>
      <c r="L39" s="463">
        <f t="shared" ref="L39:V39" si="12">ROUND(SUM(L38:L38),1)</f>
        <v>0</v>
      </c>
      <c r="M39"/>
      <c r="N39" s="463">
        <f t="shared" ref="N39:P39" si="13">ROUND(SUM(N38:N38),1)</f>
        <v>0</v>
      </c>
      <c r="O39"/>
      <c r="P39" s="463">
        <f t="shared" si="13"/>
        <v>0</v>
      </c>
      <c r="Q39"/>
      <c r="R39" s="463">
        <f t="shared" ref="R39" si="14">ROUND(SUM(R38:R38),1)</f>
        <v>0</v>
      </c>
      <c r="S39"/>
      <c r="T39" s="463">
        <f t="shared" si="12"/>
        <v>0</v>
      </c>
      <c r="U39"/>
      <c r="V39" s="463">
        <f t="shared" si="12"/>
        <v>0</v>
      </c>
      <c r="W39"/>
      <c r="X39" s="463">
        <f t="shared" ref="X39:Z39" si="15">ROUND(SUM(X38:X38),1)</f>
        <v>0</v>
      </c>
      <c r="Y39"/>
      <c r="Z39" s="463">
        <f t="shared" si="15"/>
        <v>0</v>
      </c>
      <c r="AA39" s="2503"/>
      <c r="AB39" s="249">
        <f>SUM(AB38)</f>
        <v>0</v>
      </c>
      <c r="AC39" s="252"/>
      <c r="AD39" s="463">
        <f>ROUND(SUM(AD38:AD38),1)</f>
        <v>0</v>
      </c>
      <c r="AE39" s="1587"/>
      <c r="AF39" s="252"/>
      <c r="AG39" s="463">
        <f>ROUND(SUM(AG38:AG38),1)</f>
        <v>120.2</v>
      </c>
      <c r="AH39" s="498"/>
      <c r="AI39" s="264"/>
      <c r="AJ39" s="463">
        <f>ROUND(SUM(AJ38:AJ38),1)</f>
        <v>-120.2</v>
      </c>
      <c r="AL39" s="1791">
        <f>ROUND(SUM(+AJ39/AG39),3)</f>
        <v>-1</v>
      </c>
    </row>
    <row r="40" spans="1:38" ht="15" customHeight="1">
      <c r="A40" s="218"/>
      <c r="B40" s="1811"/>
      <c r="C40" s="218"/>
      <c r="D40" s="243"/>
      <c r="F40" s="1608"/>
      <c r="H40" s="1608"/>
      <c r="J40" s="1608"/>
      <c r="L40" s="243"/>
      <c r="N40" s="243"/>
      <c r="P40" s="243"/>
      <c r="R40" s="243"/>
      <c r="T40" s="243"/>
      <c r="V40" s="243"/>
      <c r="X40" s="243"/>
      <c r="Z40" s="243"/>
      <c r="AA40" s="243"/>
      <c r="AB40" s="254"/>
      <c r="AC40" s="244"/>
      <c r="AD40" s="243"/>
      <c r="AE40" s="254"/>
      <c r="AF40" s="244"/>
      <c r="AG40" s="243"/>
      <c r="AH40" s="491"/>
      <c r="AI40" s="243"/>
      <c r="AJ40" s="1608"/>
      <c r="AK40" s="224"/>
      <c r="AL40" s="1130"/>
    </row>
    <row r="41" spans="1:38" ht="15" customHeight="1">
      <c r="A41" s="218"/>
      <c r="B41" s="1806" t="s">
        <v>1344</v>
      </c>
      <c r="C41" s="218"/>
      <c r="D41" s="262">
        <f>ROUND(SUM(D18+D29+D36+D39),1)</f>
        <v>358.4</v>
      </c>
      <c r="F41" s="1461">
        <f>ROUND(SUM(F18+F29+F36+F39),1)</f>
        <v>0</v>
      </c>
      <c r="H41" s="1461">
        <f>ROUND(SUM(H18+H29+H36+H39),1)</f>
        <v>0</v>
      </c>
      <c r="J41" s="1461">
        <f>ROUND(SUM(J18+J29+J36+J39),1)</f>
        <v>0</v>
      </c>
      <c r="L41" s="1986">
        <f t="shared" ref="L41:V41" si="16">ROUND(SUM(L18+L29+L36+L39),1)</f>
        <v>0</v>
      </c>
      <c r="N41" s="1986">
        <f t="shared" ref="N41" si="17">ROUND(SUM(N18+N29+N36+N39),1)</f>
        <v>0</v>
      </c>
      <c r="P41" s="1986">
        <f>ROUND(SUM(P18+P29+P36+P39),1)</f>
        <v>0</v>
      </c>
      <c r="R41" s="1986">
        <f t="shared" ref="R41" si="18">ROUND(SUM(R18+R29+R36+R39),1)</f>
        <v>0</v>
      </c>
      <c r="T41" s="1986">
        <f t="shared" si="16"/>
        <v>0</v>
      </c>
      <c r="V41" s="1986">
        <f t="shared" si="16"/>
        <v>0</v>
      </c>
      <c r="X41" s="1986">
        <f t="shared" ref="X41:Z41" si="19">ROUND(SUM(X18+X29+X36+X39),1)</f>
        <v>0</v>
      </c>
      <c r="Z41" s="1986">
        <f t="shared" si="19"/>
        <v>0</v>
      </c>
      <c r="AA41" s="2503"/>
      <c r="AB41" s="1986">
        <f t="shared" ref="AB41" si="20">ROUND(SUM(AB18+AB29+AB36+AB39),1)</f>
        <v>0</v>
      </c>
      <c r="AC41" s="244"/>
      <c r="AD41" s="262">
        <f>ROUND(SUM(AD18+AD29+AD36+AD39),1)</f>
        <v>358.4</v>
      </c>
      <c r="AE41" s="254"/>
      <c r="AF41" s="244"/>
      <c r="AG41" s="262">
        <f>ROUND(SUM(AG18+AG29+AG36+AG39),1)</f>
        <v>437.8</v>
      </c>
      <c r="AH41" s="491"/>
      <c r="AI41" s="243"/>
      <c r="AJ41" s="262">
        <f>ROUND(SUM(AJ18+AJ29+AJ36+AJ39),1)</f>
        <v>-79.400000000000006</v>
      </c>
      <c r="AL41" s="501">
        <f>ROUND(SUM(+AJ41/AG41),3)</f>
        <v>-0.18099999999999999</v>
      </c>
    </row>
    <row r="42" spans="1:38" ht="15" customHeight="1">
      <c r="A42" s="218"/>
      <c r="B42" s="218"/>
      <c r="C42" s="218"/>
      <c r="D42" s="494"/>
      <c r="F42" s="1188"/>
      <c r="H42" s="1188"/>
      <c r="J42" s="1188"/>
      <c r="L42" s="1188"/>
      <c r="N42" s="1188"/>
      <c r="P42" s="1188"/>
      <c r="R42" s="1188"/>
      <c r="T42" s="265"/>
      <c r="V42" s="265"/>
      <c r="X42" s="265"/>
      <c r="Z42" s="265"/>
      <c r="AA42" s="494"/>
      <c r="AB42" s="254"/>
      <c r="AC42" s="244"/>
      <c r="AD42" s="254"/>
      <c r="AE42" s="254"/>
      <c r="AF42" s="244"/>
      <c r="AG42" s="492"/>
      <c r="AH42" s="495"/>
      <c r="AI42" s="243"/>
      <c r="AJ42" s="1042"/>
      <c r="AK42" s="242"/>
      <c r="AL42" s="1629"/>
    </row>
    <row r="43" spans="1:38" ht="15" customHeight="1">
      <c r="A43" s="218"/>
      <c r="B43" s="467" t="s">
        <v>1128</v>
      </c>
      <c r="C43" s="218"/>
      <c r="D43" s="494"/>
      <c r="F43" s="1188"/>
      <c r="H43" s="1188"/>
      <c r="J43" s="1188"/>
      <c r="L43" s="1188"/>
      <c r="N43" s="1188"/>
      <c r="P43" s="1188"/>
      <c r="R43" s="1188"/>
      <c r="T43" s="265"/>
      <c r="V43" s="265"/>
      <c r="X43" s="265"/>
      <c r="Z43" s="265"/>
      <c r="AA43" s="494"/>
      <c r="AB43" s="254"/>
      <c r="AC43" s="244"/>
      <c r="AD43" s="254"/>
      <c r="AE43" s="254"/>
      <c r="AF43" s="244"/>
      <c r="AG43" s="492"/>
      <c r="AH43" s="495"/>
      <c r="AI43" s="243"/>
      <c r="AJ43" s="1042"/>
      <c r="AK43" s="242"/>
      <c r="AL43" s="1629"/>
    </row>
    <row r="44" spans="1:38" ht="15" customHeight="1">
      <c r="A44" s="218"/>
      <c r="B44" s="1541" t="s">
        <v>1253</v>
      </c>
      <c r="C44" s="218"/>
      <c r="D44" s="494"/>
      <c r="F44" s="1188"/>
      <c r="H44" s="1188"/>
      <c r="J44" s="1188"/>
      <c r="L44" s="1188"/>
      <c r="N44" s="1188"/>
      <c r="P44" s="1188"/>
      <c r="R44" s="1188"/>
      <c r="T44" s="265"/>
      <c r="V44" s="265"/>
      <c r="X44" s="265"/>
      <c r="Z44" s="265"/>
      <c r="AA44" s="494"/>
      <c r="AB44" s="254"/>
      <c r="AC44" s="244"/>
      <c r="AD44" s="254"/>
      <c r="AE44" s="254"/>
      <c r="AF44" s="244"/>
      <c r="AG44" s="492"/>
      <c r="AH44" s="495"/>
      <c r="AI44" s="243"/>
      <c r="AJ44" s="1042"/>
      <c r="AK44" s="242"/>
      <c r="AL44" s="1629"/>
    </row>
    <row r="45" spans="1:38" s="295" customFormat="1" ht="15" customHeight="1">
      <c r="A45" s="296"/>
      <c r="B45" s="1541" t="s">
        <v>1161</v>
      </c>
      <c r="C45" s="296"/>
      <c r="D45" s="1206">
        <f>'Exhibit G state'!D44+'Exhibit G Federal'!D19</f>
        <v>0.7</v>
      </c>
      <c r="E45" s="1188"/>
      <c r="F45" s="1206"/>
      <c r="G45" s="1188"/>
      <c r="H45" s="1206"/>
      <c r="I45"/>
      <c r="J45" s="1206"/>
      <c r="K45" s="2833"/>
      <c r="L45" s="1206"/>
      <c r="M45" s="2833"/>
      <c r="N45" s="1206"/>
      <c r="O45" s="2833"/>
      <c r="P45" s="1206"/>
      <c r="Q45" s="2833"/>
      <c r="R45" s="1206"/>
      <c r="S45" s="2833"/>
      <c r="T45" s="1206"/>
      <c r="U45" s="2833"/>
      <c r="V45" s="1206"/>
      <c r="W45" s="2833"/>
      <c r="X45" s="1206"/>
      <c r="Y45" s="2833"/>
      <c r="Z45" s="1206"/>
      <c r="AA45" s="1206"/>
      <c r="AB45" s="307">
        <v>0</v>
      </c>
      <c r="AC45" s="1145"/>
      <c r="AD45" s="307">
        <f t="shared" ref="AD45:AD85" si="21">ROUND(SUM(D45:Z45),1)</f>
        <v>0.7</v>
      </c>
      <c r="AE45" s="307"/>
      <c r="AF45" s="1145"/>
      <c r="AG45" s="1206">
        <f>'Exhibit G state'!AG44+'Exhibit G Federal'!AG19</f>
        <v>0.7</v>
      </c>
      <c r="AH45" s="2969"/>
      <c r="AI45" s="255"/>
      <c r="AJ45" s="1544">
        <f>ROUND(SUM(+AD45-AG45),1)</f>
        <v>0</v>
      </c>
      <c r="AK45" s="494"/>
      <c r="AL45" s="2844">
        <f>ROUND(IF(AG45=0,0,AJ45/ABS(AG45)),3)</f>
        <v>0</v>
      </c>
    </row>
    <row r="46" spans="1:38" s="295" customFormat="1" ht="15" customHeight="1">
      <c r="A46" s="296"/>
      <c r="B46" s="1541" t="s">
        <v>1254</v>
      </c>
      <c r="C46" s="296"/>
      <c r="D46" s="1206"/>
      <c r="E46"/>
      <c r="F46" s="1206"/>
      <c r="G46"/>
      <c r="H46" s="1206"/>
      <c r="I46"/>
      <c r="J46" s="1206"/>
      <c r="K46" s="2833"/>
      <c r="L46" s="1206"/>
      <c r="M46" s="2833"/>
      <c r="N46" s="1206"/>
      <c r="O46" s="2833"/>
      <c r="P46" s="1206"/>
      <c r="Q46" s="2833"/>
      <c r="R46" s="1206"/>
      <c r="S46" s="2833"/>
      <c r="T46" s="1206"/>
      <c r="U46" s="2833"/>
      <c r="V46" s="1206"/>
      <c r="W46" s="2833"/>
      <c r="X46" s="1206"/>
      <c r="Y46" s="2833"/>
      <c r="Z46" s="1206"/>
      <c r="AA46" s="1206"/>
      <c r="AB46" s="307"/>
      <c r="AC46" s="1145"/>
      <c r="AD46" s="307"/>
      <c r="AE46" s="307"/>
      <c r="AF46" s="1145"/>
      <c r="AG46" s="1206"/>
      <c r="AH46" s="2969"/>
      <c r="AI46" s="255"/>
      <c r="AJ46" s="1544"/>
      <c r="AK46" s="494"/>
      <c r="AL46" s="2964"/>
    </row>
    <row r="47" spans="1:38" s="295" customFormat="1" ht="15" customHeight="1">
      <c r="A47" s="296"/>
      <c r="B47" s="1541" t="s">
        <v>1163</v>
      </c>
      <c r="C47" s="296"/>
      <c r="D47" s="1206">
        <f>'Exhibit G state'!D46+'Exhibit G Federal'!D21</f>
        <v>87.600000000000009</v>
      </c>
      <c r="E47" s="1206"/>
      <c r="F47" s="1206"/>
      <c r="G47" s="1206"/>
      <c r="H47" s="1206"/>
      <c r="I47"/>
      <c r="J47" s="1206"/>
      <c r="K47" s="2833"/>
      <c r="L47" s="1206"/>
      <c r="M47" s="2833"/>
      <c r="N47" s="1206"/>
      <c r="O47" s="2833"/>
      <c r="P47" s="1206"/>
      <c r="Q47" s="2833"/>
      <c r="R47" s="1206"/>
      <c r="S47" s="2833"/>
      <c r="T47" s="1206"/>
      <c r="U47" s="2833"/>
      <c r="V47" s="1206"/>
      <c r="W47" s="2833"/>
      <c r="X47" s="1206"/>
      <c r="Y47" s="2833"/>
      <c r="Z47" s="1206"/>
      <c r="AA47" s="1206"/>
      <c r="AB47" s="307">
        <v>0</v>
      </c>
      <c r="AC47" s="1145"/>
      <c r="AD47" s="307">
        <f>ROUND(SUM(D47:Z47),1)</f>
        <v>87.6</v>
      </c>
      <c r="AE47" s="307"/>
      <c r="AF47" s="1145"/>
      <c r="AG47" s="1206">
        <f>'Exhibit G state'!AG46+'Exhibit G Federal'!AG21</f>
        <v>18.100000000000001</v>
      </c>
      <c r="AH47" s="2969"/>
      <c r="AI47" s="255"/>
      <c r="AJ47" s="1544">
        <f>ROUND(SUM(+AD47-AG47),1)</f>
        <v>69.5</v>
      </c>
      <c r="AK47" s="494"/>
      <c r="AL47" s="2844">
        <f>ROUND(IF(AG47=0,0,AJ47/ABS(AG47)),3)</f>
        <v>3.84</v>
      </c>
    </row>
    <row r="48" spans="1:38" s="295" customFormat="1" ht="15" customHeight="1">
      <c r="A48" s="296"/>
      <c r="B48" s="1541" t="s">
        <v>1164</v>
      </c>
      <c r="C48" s="296"/>
      <c r="D48" s="1206">
        <f>'Exhibit G state'!D47+'Exhibit G Federal'!D22</f>
        <v>524.29999999999995</v>
      </c>
      <c r="E48" s="1206"/>
      <c r="F48" s="1206"/>
      <c r="G48" s="1206"/>
      <c r="H48" s="1206"/>
      <c r="I48"/>
      <c r="J48" s="1206"/>
      <c r="K48" s="2833"/>
      <c r="L48" s="1206"/>
      <c r="M48" s="2833"/>
      <c r="N48" s="1206"/>
      <c r="O48" s="2833"/>
      <c r="P48" s="1206"/>
      <c r="Q48" s="2833"/>
      <c r="R48" s="1206"/>
      <c r="S48" s="2833"/>
      <c r="T48" s="1206"/>
      <c r="U48" s="2833"/>
      <c r="V48" s="1206"/>
      <c r="W48" s="2833"/>
      <c r="X48" s="1206"/>
      <c r="Y48" s="2833"/>
      <c r="Z48" s="1206"/>
      <c r="AA48" s="1206"/>
      <c r="AB48" s="307">
        <v>0</v>
      </c>
      <c r="AC48" s="1145"/>
      <c r="AD48" s="1544">
        <f t="shared" si="21"/>
        <v>524.29999999999995</v>
      </c>
      <c r="AE48" s="307"/>
      <c r="AF48" s="1145"/>
      <c r="AG48" s="1206">
        <f>'Exhibit G state'!AG47+'Exhibit G Federal'!AG22</f>
        <v>460.4</v>
      </c>
      <c r="AH48" s="2969"/>
      <c r="AI48" s="255"/>
      <c r="AJ48" s="1544">
        <f>ROUND(SUM(+AD48-AG48),1)</f>
        <v>63.9</v>
      </c>
      <c r="AK48" s="494"/>
      <c r="AL48" s="2844">
        <f>ROUND(IF(AG48=0,0,AJ48/ABS(AG48)),3)</f>
        <v>0.13900000000000001</v>
      </c>
    </row>
    <row r="49" spans="1:38" s="295" customFormat="1" ht="15" customHeight="1">
      <c r="A49" s="296"/>
      <c r="B49" s="1541" t="s">
        <v>1165</v>
      </c>
      <c r="C49" s="296"/>
      <c r="D49" s="1206">
        <f>'Exhibit G state'!D48+'Exhibit G Federal'!D23</f>
        <v>1.8</v>
      </c>
      <c r="E49" s="1206"/>
      <c r="F49" s="1206"/>
      <c r="G49" s="1206"/>
      <c r="H49" s="1206"/>
      <c r="I49"/>
      <c r="J49" s="1206"/>
      <c r="K49" s="2833"/>
      <c r="L49" s="1206"/>
      <c r="M49" s="2833"/>
      <c r="N49" s="1206"/>
      <c r="O49" s="2833"/>
      <c r="P49" s="1206"/>
      <c r="Q49" s="2833"/>
      <c r="R49" s="1206"/>
      <c r="S49" s="2833"/>
      <c r="T49" s="1206"/>
      <c r="U49" s="2833"/>
      <c r="V49" s="1206"/>
      <c r="W49" s="2833"/>
      <c r="X49" s="1206"/>
      <c r="Y49" s="2833"/>
      <c r="Z49" s="1206"/>
      <c r="AA49" s="1206"/>
      <c r="AB49" s="307">
        <v>0</v>
      </c>
      <c r="AC49" s="1145"/>
      <c r="AD49" s="307">
        <f t="shared" si="21"/>
        <v>1.8</v>
      </c>
      <c r="AE49" s="307"/>
      <c r="AF49" s="1145"/>
      <c r="AG49" s="1206">
        <f>'Exhibit G state'!AG48+'Exhibit G Federal'!AG23</f>
        <v>1.4</v>
      </c>
      <c r="AH49" s="2969"/>
      <c r="AI49" s="255"/>
      <c r="AJ49" s="1544">
        <f>ROUND(SUM(+AD49-AG49),1)</f>
        <v>0.4</v>
      </c>
      <c r="AK49" s="494"/>
      <c r="AL49" s="2844">
        <f>ROUND(IF(AG49=0,0,AJ49/ABS(AG49)),3)</f>
        <v>0.28599999999999998</v>
      </c>
    </row>
    <row r="50" spans="1:38" s="295" customFormat="1" ht="15" customHeight="1">
      <c r="A50" s="296"/>
      <c r="B50" s="1541" t="s">
        <v>1166</v>
      </c>
      <c r="C50" s="296"/>
      <c r="D50" s="1206">
        <f>'Exhibit G state'!D49+'Exhibit G Federal'!D24</f>
        <v>0</v>
      </c>
      <c r="E50" s="1206"/>
      <c r="F50" s="1206"/>
      <c r="G50" s="1206"/>
      <c r="H50" s="1206"/>
      <c r="I50"/>
      <c r="J50" s="1206"/>
      <c r="K50" s="2833"/>
      <c r="L50" s="1206"/>
      <c r="M50" s="2833"/>
      <c r="N50" s="1206"/>
      <c r="O50" s="2833"/>
      <c r="P50" s="1206"/>
      <c r="Q50" s="2833"/>
      <c r="R50" s="1206"/>
      <c r="S50" s="2833"/>
      <c r="T50" s="1206"/>
      <c r="U50" s="2833"/>
      <c r="V50" s="1206"/>
      <c r="W50" s="2833"/>
      <c r="X50" s="1206"/>
      <c r="Y50" s="2833"/>
      <c r="Z50" s="1206"/>
      <c r="AA50" s="1206"/>
      <c r="AB50" s="307">
        <v>0</v>
      </c>
      <c r="AC50" s="1145"/>
      <c r="AD50" s="307">
        <f t="shared" si="21"/>
        <v>0</v>
      </c>
      <c r="AE50" s="307"/>
      <c r="AF50" s="1145"/>
      <c r="AG50" s="1206">
        <f>'Exhibit G state'!AG49+'Exhibit G Federal'!AG24</f>
        <v>0.9</v>
      </c>
      <c r="AH50" s="2969"/>
      <c r="AI50" s="255"/>
      <c r="AJ50" s="1544">
        <f>ROUND(SUM(+AD50-AG50),1)</f>
        <v>-0.9</v>
      </c>
      <c r="AK50" s="494"/>
      <c r="AL50" s="2844">
        <f>ROUND(IF(AG50=0,0,AJ50/ABS(AG50)),3)</f>
        <v>-1</v>
      </c>
    </row>
    <row r="51" spans="1:38" s="295" customFormat="1" ht="15" customHeight="1">
      <c r="A51" s="296"/>
      <c r="B51" s="1541" t="s">
        <v>1259</v>
      </c>
      <c r="C51" s="296"/>
      <c r="D51" s="1206"/>
      <c r="E51"/>
      <c r="F51" s="1206"/>
      <c r="G51"/>
      <c r="H51" s="1206"/>
      <c r="I51"/>
      <c r="J51" s="1206"/>
      <c r="K51" s="2833"/>
      <c r="L51" s="1206"/>
      <c r="M51" s="2833"/>
      <c r="N51" s="1206"/>
      <c r="O51" s="2833"/>
      <c r="P51" s="1206"/>
      <c r="Q51" s="2833"/>
      <c r="R51" s="1206"/>
      <c r="S51" s="2833"/>
      <c r="T51" s="1206"/>
      <c r="U51" s="2833"/>
      <c r="V51" s="1206"/>
      <c r="W51" s="2833"/>
      <c r="X51" s="1206"/>
      <c r="Y51" s="2833"/>
      <c r="Z51" s="1206"/>
      <c r="AA51" s="1206"/>
      <c r="AB51" s="307"/>
      <c r="AC51" s="1145"/>
      <c r="AD51" s="307"/>
      <c r="AE51" s="307"/>
      <c r="AF51" s="1145"/>
      <c r="AG51" s="1206"/>
      <c r="AH51" s="2969"/>
      <c r="AI51" s="255"/>
      <c r="AJ51" s="1544"/>
      <c r="AK51" s="494"/>
      <c r="AL51" s="2964"/>
    </row>
    <row r="52" spans="1:38" s="295" customFormat="1" ht="15" customHeight="1">
      <c r="A52" s="296"/>
      <c r="B52" s="1541" t="s">
        <v>1367</v>
      </c>
      <c r="C52" s="296"/>
      <c r="D52" s="1206">
        <f>'Exhibit G state'!D51</f>
        <v>0</v>
      </c>
      <c r="E52" s="1206"/>
      <c r="F52" s="1206"/>
      <c r="G52" s="1206"/>
      <c r="H52" s="1206"/>
      <c r="I52"/>
      <c r="J52" s="1206"/>
      <c r="K52" s="2833"/>
      <c r="L52" s="1206"/>
      <c r="M52" s="2833"/>
      <c r="N52" s="1206"/>
      <c r="O52" s="2833"/>
      <c r="P52" s="1206"/>
      <c r="Q52" s="2833"/>
      <c r="R52" s="1206"/>
      <c r="S52" s="2833"/>
      <c r="T52" s="1206"/>
      <c r="U52" s="2833"/>
      <c r="V52" s="1206"/>
      <c r="W52" s="2833"/>
      <c r="X52" s="1206"/>
      <c r="Y52" s="2833"/>
      <c r="Z52" s="1206"/>
      <c r="AA52" s="1206"/>
      <c r="AB52" s="307">
        <v>0</v>
      </c>
      <c r="AC52" s="1145"/>
      <c r="AD52" s="307">
        <f>ROUND(SUM(D52:Z52),1)</f>
        <v>0</v>
      </c>
      <c r="AE52" s="307"/>
      <c r="AF52" s="1145"/>
      <c r="AG52" s="1206">
        <f>'Exhibit G state'!AG51</f>
        <v>0</v>
      </c>
      <c r="AH52" s="2969"/>
      <c r="AI52" s="255"/>
      <c r="AJ52" s="1544">
        <f>ROUND(SUM(+AD52-AG52),1)</f>
        <v>0</v>
      </c>
      <c r="AK52" s="494"/>
      <c r="AL52" s="2843">
        <f>ROUND(IF(AG52=0,0,AJ52/ABS(AG52)),3)</f>
        <v>0</v>
      </c>
    </row>
    <row r="53" spans="1:38" s="295" customFormat="1" ht="15" customHeight="1">
      <c r="A53" s="296"/>
      <c r="B53" s="1541" t="s">
        <v>1167</v>
      </c>
      <c r="C53" s="296"/>
      <c r="D53" s="1206">
        <f>'Exhibit G state'!D52+'Exhibit G Federal'!D26</f>
        <v>37.1</v>
      </c>
      <c r="E53" s="1206"/>
      <c r="F53" s="1206"/>
      <c r="G53" s="1206"/>
      <c r="H53" s="1206"/>
      <c r="I53"/>
      <c r="J53" s="1206"/>
      <c r="K53" s="2833"/>
      <c r="L53" s="1206"/>
      <c r="M53" s="2833"/>
      <c r="N53" s="1206"/>
      <c r="O53" s="2833"/>
      <c r="P53" s="1206"/>
      <c r="Q53" s="2833"/>
      <c r="R53" s="1206"/>
      <c r="S53" s="2833"/>
      <c r="T53" s="1206"/>
      <c r="U53" s="2833"/>
      <c r="V53" s="1206"/>
      <c r="W53" s="2833"/>
      <c r="X53" s="1206"/>
      <c r="Y53" s="2833"/>
      <c r="Z53" s="1206"/>
      <c r="AA53" s="1206"/>
      <c r="AB53" s="307">
        <v>0</v>
      </c>
      <c r="AC53" s="1145"/>
      <c r="AD53" s="307">
        <f t="shared" si="21"/>
        <v>37.1</v>
      </c>
      <c r="AE53" s="307"/>
      <c r="AF53" s="1145"/>
      <c r="AG53" s="1206">
        <f>'Exhibit G state'!AG52+'Exhibit G Federal'!AG26</f>
        <v>46.3</v>
      </c>
      <c r="AH53" s="2969"/>
      <c r="AI53" s="255"/>
      <c r="AJ53" s="1544">
        <f t="shared" ref="AJ53:AJ58" si="22">ROUND(SUM(+AD53-AG53),1)</f>
        <v>-9.1999999999999993</v>
      </c>
      <c r="AK53" s="494"/>
      <c r="AL53" s="2843">
        <f t="shared" ref="AL53:AL58" si="23">ROUND(IF(AG53=0,0,AJ53/ABS(AG53)),3)</f>
        <v>-0.19900000000000001</v>
      </c>
    </row>
    <row r="54" spans="1:38" s="295" customFormat="1" ht="15" customHeight="1">
      <c r="A54" s="296"/>
      <c r="B54" s="1541" t="s">
        <v>1168</v>
      </c>
      <c r="C54" s="296"/>
      <c r="D54" s="1206">
        <f>'Exhibit G state'!D53+'Exhibit G Federal'!D27</f>
        <v>4.5999999999999996</v>
      </c>
      <c r="E54" s="1206"/>
      <c r="F54" s="1206"/>
      <c r="G54" s="1206"/>
      <c r="H54" s="1206"/>
      <c r="I54"/>
      <c r="J54" s="1206"/>
      <c r="K54" s="2833"/>
      <c r="L54" s="1206"/>
      <c r="M54" s="2833"/>
      <c r="N54" s="1206"/>
      <c r="O54" s="2833"/>
      <c r="P54" s="1206"/>
      <c r="Q54" s="2833"/>
      <c r="R54" s="1206"/>
      <c r="S54" s="2833"/>
      <c r="T54" s="1206"/>
      <c r="U54" s="2833"/>
      <c r="V54" s="1206"/>
      <c r="W54" s="2833"/>
      <c r="X54" s="1206"/>
      <c r="Y54" s="2833"/>
      <c r="Z54" s="1206"/>
      <c r="AA54" s="1206"/>
      <c r="AB54" s="307">
        <v>0</v>
      </c>
      <c r="AC54" s="1145"/>
      <c r="AD54" s="307">
        <f t="shared" si="21"/>
        <v>4.5999999999999996</v>
      </c>
      <c r="AE54" s="307"/>
      <c r="AF54" s="1145"/>
      <c r="AG54" s="1206">
        <f>'Exhibit G state'!AG53+'Exhibit G Federal'!AG27</f>
        <v>4.9000000000000004</v>
      </c>
      <c r="AH54" s="2969"/>
      <c r="AI54" s="255"/>
      <c r="AJ54" s="1544">
        <f t="shared" si="22"/>
        <v>-0.3</v>
      </c>
      <c r="AK54" s="494"/>
      <c r="AL54" s="2843">
        <f t="shared" si="23"/>
        <v>-6.0999999999999999E-2</v>
      </c>
    </row>
    <row r="55" spans="1:38" s="295" customFormat="1" ht="15" customHeight="1">
      <c r="A55" s="296"/>
      <c r="B55" s="1541" t="s">
        <v>1169</v>
      </c>
      <c r="C55" s="296"/>
      <c r="D55" s="1206">
        <f>'Exhibit G state'!D54+'Exhibit G Federal'!D28</f>
        <v>0.3</v>
      </c>
      <c r="E55" s="1206"/>
      <c r="F55" s="1206"/>
      <c r="G55" s="1206"/>
      <c r="H55" s="1206"/>
      <c r="I55"/>
      <c r="J55" s="1206"/>
      <c r="K55" s="2833"/>
      <c r="L55" s="1206"/>
      <c r="M55" s="2833"/>
      <c r="N55" s="1206"/>
      <c r="O55" s="2833"/>
      <c r="P55" s="1206"/>
      <c r="Q55" s="2833"/>
      <c r="R55" s="1206"/>
      <c r="S55" s="2833"/>
      <c r="T55" s="1206"/>
      <c r="U55" s="2833"/>
      <c r="V55" s="1206"/>
      <c r="W55" s="2833"/>
      <c r="X55" s="1206"/>
      <c r="Y55" s="2833"/>
      <c r="Z55" s="1206"/>
      <c r="AA55" s="1206"/>
      <c r="AB55" s="307">
        <v>0</v>
      </c>
      <c r="AC55" s="1145"/>
      <c r="AD55" s="307">
        <f>ROUND(SUM(D55:Z55),1)</f>
        <v>0.3</v>
      </c>
      <c r="AE55" s="307"/>
      <c r="AF55" s="1145"/>
      <c r="AG55" s="1206">
        <f>'Exhibit G state'!AG54+'Exhibit G Federal'!AG28</f>
        <v>0</v>
      </c>
      <c r="AH55" s="2969"/>
      <c r="AI55" s="255"/>
      <c r="AJ55" s="1544">
        <f t="shared" si="22"/>
        <v>0.3</v>
      </c>
      <c r="AK55" s="494"/>
      <c r="AL55" s="2843">
        <f>ROUND(IF(AG55=0,1,AJ55/ABS(AG55)),3)</f>
        <v>1</v>
      </c>
    </row>
    <row r="56" spans="1:38" s="295" customFormat="1" ht="15" customHeight="1">
      <c r="A56" s="296"/>
      <c r="B56" s="1541" t="s">
        <v>1170</v>
      </c>
      <c r="C56" s="296"/>
      <c r="D56" s="1206">
        <f>'Exhibit G state'!D55+'Exhibit G Federal'!D29</f>
        <v>44.9</v>
      </c>
      <c r="E56" s="1206"/>
      <c r="F56" s="1206"/>
      <c r="G56" s="1206"/>
      <c r="H56" s="1206"/>
      <c r="I56"/>
      <c r="J56" s="1206"/>
      <c r="K56" s="2833"/>
      <c r="L56" s="1206"/>
      <c r="M56" s="2833"/>
      <c r="N56" s="1206"/>
      <c r="O56" s="2833"/>
      <c r="P56" s="1206"/>
      <c r="Q56" s="2833"/>
      <c r="R56" s="1206"/>
      <c r="S56" s="2833"/>
      <c r="T56" s="1206"/>
      <c r="U56" s="2833"/>
      <c r="V56" s="1206"/>
      <c r="W56" s="2833"/>
      <c r="X56" s="1206"/>
      <c r="Y56" s="2833"/>
      <c r="Z56" s="1206"/>
      <c r="AA56" s="1206"/>
      <c r="AB56" s="307">
        <v>0</v>
      </c>
      <c r="AC56" s="1145"/>
      <c r="AD56" s="307">
        <f t="shared" si="21"/>
        <v>44.9</v>
      </c>
      <c r="AE56" s="307"/>
      <c r="AF56" s="1145"/>
      <c r="AG56" s="1206">
        <f>'Exhibit G state'!AG55+'Exhibit G Federal'!AG29</f>
        <v>42.9</v>
      </c>
      <c r="AH56" s="2969"/>
      <c r="AI56" s="255"/>
      <c r="AJ56" s="1544">
        <f t="shared" si="22"/>
        <v>2</v>
      </c>
      <c r="AK56" s="494"/>
      <c r="AL56" s="2843">
        <f t="shared" si="23"/>
        <v>4.7E-2</v>
      </c>
    </row>
    <row r="57" spans="1:38" s="295" customFormat="1" ht="15" customHeight="1">
      <c r="A57" s="296"/>
      <c r="B57" s="1541" t="s">
        <v>1171</v>
      </c>
      <c r="C57" s="296"/>
      <c r="D57" s="1206">
        <f>'Exhibit G state'!D56+'Exhibit G Federal'!D30</f>
        <v>43.300000000000004</v>
      </c>
      <c r="E57" s="1206"/>
      <c r="F57" s="1206"/>
      <c r="G57" s="1206"/>
      <c r="H57" s="1206"/>
      <c r="I57"/>
      <c r="J57" s="1206"/>
      <c r="K57" s="2833"/>
      <c r="L57" s="1206"/>
      <c r="M57" s="2833"/>
      <c r="N57" s="1206"/>
      <c r="O57" s="2833"/>
      <c r="P57" s="1206"/>
      <c r="Q57" s="2833"/>
      <c r="R57" s="1206"/>
      <c r="S57" s="2833"/>
      <c r="T57" s="1206"/>
      <c r="U57" s="2833"/>
      <c r="V57" s="1206"/>
      <c r="W57" s="2833"/>
      <c r="X57" s="1206"/>
      <c r="Y57" s="2833"/>
      <c r="Z57" s="1206"/>
      <c r="AA57" s="1206"/>
      <c r="AB57" s="307">
        <v>0</v>
      </c>
      <c r="AC57" s="1145"/>
      <c r="AD57" s="1544">
        <f t="shared" si="21"/>
        <v>43.3</v>
      </c>
      <c r="AE57" s="307"/>
      <c r="AF57" s="1145"/>
      <c r="AG57" s="1206">
        <f>'Exhibit G state'!AG56+'Exhibit G Federal'!AG30</f>
        <v>42.5</v>
      </c>
      <c r="AH57" s="2969"/>
      <c r="AI57" s="255"/>
      <c r="AJ57" s="1544">
        <f t="shared" si="22"/>
        <v>0.8</v>
      </c>
      <c r="AK57" s="494"/>
      <c r="AL57" s="2843">
        <f t="shared" si="23"/>
        <v>1.9E-2</v>
      </c>
    </row>
    <row r="58" spans="1:38" s="295" customFormat="1" ht="15" customHeight="1">
      <c r="A58" s="296"/>
      <c r="B58" s="1541" t="s">
        <v>1129</v>
      </c>
      <c r="C58" s="296"/>
      <c r="D58" s="1206">
        <f>'Exhibit G state'!D57+'Exhibit G Federal'!D31</f>
        <v>53.20000000000001</v>
      </c>
      <c r="E58" s="1206"/>
      <c r="F58" s="1206"/>
      <c r="G58" s="1206"/>
      <c r="H58" s="1206"/>
      <c r="I58"/>
      <c r="J58" s="1206"/>
      <c r="K58" s="2833"/>
      <c r="L58" s="1206"/>
      <c r="M58" s="2833"/>
      <c r="N58" s="1206"/>
      <c r="O58" s="2833"/>
      <c r="P58" s="1206"/>
      <c r="Q58" s="2833"/>
      <c r="R58" s="1206"/>
      <c r="S58" s="2833"/>
      <c r="T58" s="1206"/>
      <c r="U58" s="2833"/>
      <c r="V58" s="1206"/>
      <c r="W58" s="2833"/>
      <c r="X58" s="1206"/>
      <c r="Y58" s="2833"/>
      <c r="Z58" s="1206"/>
      <c r="AA58" s="1206"/>
      <c r="AB58" s="307">
        <v>0</v>
      </c>
      <c r="AC58" s="1145"/>
      <c r="AD58" s="1544">
        <f t="shared" si="21"/>
        <v>53.2</v>
      </c>
      <c r="AE58" s="307"/>
      <c r="AF58" s="1145"/>
      <c r="AG58" s="1206">
        <f>'Exhibit G state'!AG57+'Exhibit G Federal'!AG31</f>
        <v>7.3</v>
      </c>
      <c r="AH58" s="2969"/>
      <c r="AI58" s="255"/>
      <c r="AJ58" s="1544">
        <f t="shared" si="22"/>
        <v>45.9</v>
      </c>
      <c r="AK58" s="494"/>
      <c r="AL58" s="2849">
        <f t="shared" si="23"/>
        <v>6.2880000000000003</v>
      </c>
    </row>
    <row r="59" spans="1:38" s="295" customFormat="1" ht="15" customHeight="1">
      <c r="A59" s="296"/>
      <c r="B59" s="1541" t="s">
        <v>1256</v>
      </c>
      <c r="C59" s="296"/>
      <c r="D59" s="1206"/>
      <c r="E59"/>
      <c r="F59" s="1206"/>
      <c r="G59"/>
      <c r="H59" s="1206"/>
      <c r="I59"/>
      <c r="J59" s="1206"/>
      <c r="K59" s="2833"/>
      <c r="L59" s="1206"/>
      <c r="M59" s="2833"/>
      <c r="N59" s="1206"/>
      <c r="O59" s="2833"/>
      <c r="P59" s="1206"/>
      <c r="Q59" s="2833"/>
      <c r="R59" s="1206"/>
      <c r="S59" s="2833"/>
      <c r="T59" s="1206"/>
      <c r="U59" s="2833"/>
      <c r="V59" s="1206"/>
      <c r="W59" s="2833"/>
      <c r="X59" s="1206"/>
      <c r="Y59" s="2833"/>
      <c r="Z59" s="1206"/>
      <c r="AA59" s="1206"/>
      <c r="AB59" s="307"/>
      <c r="AC59" s="1145"/>
      <c r="AD59" s="1544"/>
      <c r="AE59" s="307"/>
      <c r="AF59" s="1145"/>
      <c r="AG59" s="1206"/>
      <c r="AH59" s="2969"/>
      <c r="AI59" s="255"/>
      <c r="AJ59" s="1544"/>
      <c r="AK59" s="494"/>
      <c r="AL59" s="2972"/>
    </row>
    <row r="60" spans="1:38" s="295" customFormat="1" ht="15" customHeight="1">
      <c r="A60" s="296"/>
      <c r="B60" s="1541" t="s">
        <v>1172</v>
      </c>
      <c r="C60" s="296"/>
      <c r="D60" s="1206">
        <f>'Exhibit G state'!D59</f>
        <v>28.2</v>
      </c>
      <c r="E60" s="1206"/>
      <c r="F60" s="1206"/>
      <c r="G60" s="1206"/>
      <c r="H60" s="1206"/>
      <c r="I60"/>
      <c r="J60" s="1206"/>
      <c r="K60" s="2833"/>
      <c r="L60" s="1206"/>
      <c r="M60" s="2833"/>
      <c r="N60" s="1206"/>
      <c r="O60" s="2833"/>
      <c r="P60" s="1206"/>
      <c r="Q60" s="2833"/>
      <c r="R60" s="1206"/>
      <c r="S60" s="2833"/>
      <c r="T60" s="1206"/>
      <c r="U60" s="2833"/>
      <c r="V60" s="1206"/>
      <c r="W60" s="2833"/>
      <c r="X60" s="1206"/>
      <c r="Y60" s="2833"/>
      <c r="Z60" s="1206"/>
      <c r="AA60" s="1206"/>
      <c r="AB60" s="307">
        <v>0</v>
      </c>
      <c r="AC60" s="1145"/>
      <c r="AD60" s="1544">
        <f t="shared" si="21"/>
        <v>28.2</v>
      </c>
      <c r="AE60" s="307"/>
      <c r="AF60" s="1145"/>
      <c r="AG60" s="1206">
        <f>'Exhibit G state'!AG59</f>
        <v>22.7</v>
      </c>
      <c r="AH60" s="2969"/>
      <c r="AI60" s="255"/>
      <c r="AJ60" s="1544">
        <f>ROUND(SUM(+AD60-AG60),1)</f>
        <v>5.5</v>
      </c>
      <c r="AK60" s="494"/>
      <c r="AL60" s="2849">
        <f>ROUND(IF(AG60=0,0,AJ60/ABS(AG60)),3)</f>
        <v>0.24199999999999999</v>
      </c>
    </row>
    <row r="61" spans="1:38" s="295" customFormat="1" ht="15" customHeight="1">
      <c r="A61" s="296"/>
      <c r="B61" s="1541" t="s">
        <v>1173</v>
      </c>
      <c r="C61" s="296"/>
      <c r="D61" s="1206">
        <f>'Exhibit G state'!D60</f>
        <v>199</v>
      </c>
      <c r="E61" s="1206"/>
      <c r="F61" s="1206"/>
      <c r="G61" s="1206"/>
      <c r="H61" s="1206"/>
      <c r="I61"/>
      <c r="J61" s="1206"/>
      <c r="K61" s="2833"/>
      <c r="L61" s="1206"/>
      <c r="M61" s="2833"/>
      <c r="N61" s="1206"/>
      <c r="O61" s="2833"/>
      <c r="P61" s="1206"/>
      <c r="Q61" s="2833"/>
      <c r="R61" s="1206"/>
      <c r="S61" s="2833"/>
      <c r="T61" s="1206"/>
      <c r="U61" s="2833"/>
      <c r="V61" s="1206"/>
      <c r="W61" s="2833"/>
      <c r="X61" s="1206"/>
      <c r="Y61" s="2833"/>
      <c r="Z61" s="1206"/>
      <c r="AA61" s="1206"/>
      <c r="AB61" s="307">
        <v>0</v>
      </c>
      <c r="AC61" s="1145"/>
      <c r="AD61" s="1544">
        <f t="shared" si="21"/>
        <v>199</v>
      </c>
      <c r="AE61" s="307"/>
      <c r="AF61" s="1145"/>
      <c r="AG61" s="1206">
        <f>'Exhibit G state'!AG60</f>
        <v>190.4</v>
      </c>
      <c r="AH61" s="2969"/>
      <c r="AI61" s="255"/>
      <c r="AJ61" s="1544">
        <f>ROUND(SUM(+AD61-AG61),1)</f>
        <v>8.6</v>
      </c>
      <c r="AK61" s="494"/>
      <c r="AL61" s="2843">
        <f>ROUND(IF(AG61=0,0,AJ61/ABS(AG61)),3)</f>
        <v>4.4999999999999998E-2</v>
      </c>
    </row>
    <row r="62" spans="1:38" s="295" customFormat="1" ht="15" customHeight="1">
      <c r="A62" s="296"/>
      <c r="B62" s="1541" t="s">
        <v>1174</v>
      </c>
      <c r="C62" s="296"/>
      <c r="D62" s="1206">
        <f>'Exhibit G state'!D61</f>
        <v>75.099999999999994</v>
      </c>
      <c r="E62" s="1206"/>
      <c r="F62" s="1206"/>
      <c r="G62" s="1206"/>
      <c r="H62" s="1206"/>
      <c r="I62"/>
      <c r="J62" s="1206"/>
      <c r="K62" s="2833"/>
      <c r="L62" s="1206"/>
      <c r="M62" s="2833"/>
      <c r="N62" s="1206"/>
      <c r="O62" s="2833"/>
      <c r="P62" s="1206"/>
      <c r="Q62" s="2833"/>
      <c r="R62" s="1206"/>
      <c r="S62" s="2833"/>
      <c r="T62" s="1206"/>
      <c r="U62" s="2833"/>
      <c r="V62" s="1206"/>
      <c r="W62" s="2833"/>
      <c r="X62" s="1206"/>
      <c r="Y62" s="2833"/>
      <c r="Z62" s="1206"/>
      <c r="AA62" s="1206"/>
      <c r="AB62" s="307">
        <v>0</v>
      </c>
      <c r="AC62" s="1145"/>
      <c r="AD62" s="1544">
        <f t="shared" si="21"/>
        <v>75.099999999999994</v>
      </c>
      <c r="AE62" s="307"/>
      <c r="AF62" s="1145"/>
      <c r="AG62" s="1206">
        <f>'Exhibit G state'!AG61</f>
        <v>72.5</v>
      </c>
      <c r="AH62" s="2969"/>
      <c r="AI62" s="255"/>
      <c r="AJ62" s="1544">
        <f>ROUND(SUM(+AD62-AG62),1)</f>
        <v>2.6</v>
      </c>
      <c r="AK62" s="494"/>
      <c r="AL62" s="2843">
        <f>ROUND(IF(AG62=0,0,AJ62/ABS(AG62)),3)</f>
        <v>3.5999999999999997E-2</v>
      </c>
    </row>
    <row r="63" spans="1:38" s="295" customFormat="1" ht="15" customHeight="1">
      <c r="A63" s="296"/>
      <c r="B63" s="1541" t="s">
        <v>1130</v>
      </c>
      <c r="C63" s="296"/>
      <c r="D63" s="1206">
        <f>'Exhibit G state'!D62+'Exhibit G Federal'!D32</f>
        <v>10.3</v>
      </c>
      <c r="E63" s="1206"/>
      <c r="F63" s="1206"/>
      <c r="G63" s="1206"/>
      <c r="H63" s="1206"/>
      <c r="I63"/>
      <c r="J63" s="1206"/>
      <c r="K63" s="2833"/>
      <c r="L63" s="1206"/>
      <c r="M63" s="2833"/>
      <c r="N63" s="1206"/>
      <c r="O63" s="2833"/>
      <c r="P63" s="1206"/>
      <c r="Q63" s="2833"/>
      <c r="R63" s="1206"/>
      <c r="S63" s="2833"/>
      <c r="T63" s="1206"/>
      <c r="U63" s="2833"/>
      <c r="V63" s="1206"/>
      <c r="W63" s="2833"/>
      <c r="X63" s="1206"/>
      <c r="Y63" s="2833"/>
      <c r="Z63" s="1206"/>
      <c r="AA63" s="1206"/>
      <c r="AB63" s="307">
        <v>0</v>
      </c>
      <c r="AC63" s="1145"/>
      <c r="AD63" s="1544">
        <f>ROUND(SUM(D63:Z63),1)</f>
        <v>10.3</v>
      </c>
      <c r="AE63" s="307"/>
      <c r="AF63" s="1145"/>
      <c r="AG63" s="1206">
        <f>'Exhibit G state'!AG62+'Exhibit G Federal'!AG32</f>
        <v>5.9</v>
      </c>
      <c r="AH63" s="2969"/>
      <c r="AI63" s="255"/>
      <c r="AJ63" s="1544">
        <f>ROUND(SUM(+AD63-AG63),1)</f>
        <v>4.4000000000000004</v>
      </c>
      <c r="AK63" s="494"/>
      <c r="AL63" s="2843">
        <f>ROUND(IF(AG63=0,0,AJ63/ABS(AG63)),3)</f>
        <v>0.746</v>
      </c>
    </row>
    <row r="64" spans="1:38" s="295" customFormat="1" ht="15" customHeight="1">
      <c r="A64" s="296"/>
      <c r="B64" s="1541" t="s">
        <v>1257</v>
      </c>
      <c r="C64" s="296"/>
      <c r="D64" s="1206"/>
      <c r="E64"/>
      <c r="F64" s="1206"/>
      <c r="G64"/>
      <c r="H64" s="1206"/>
      <c r="I64"/>
      <c r="J64" s="1206"/>
      <c r="K64" s="2833"/>
      <c r="L64" s="1206"/>
      <c r="M64" s="2833"/>
      <c r="N64" s="1206"/>
      <c r="O64" s="2833"/>
      <c r="P64" s="1206"/>
      <c r="Q64" s="2833"/>
      <c r="R64" s="1206"/>
      <c r="S64" s="2833"/>
      <c r="T64" s="1206"/>
      <c r="U64" s="2833"/>
      <c r="V64" s="1206"/>
      <c r="W64" s="2833"/>
      <c r="X64" s="1206"/>
      <c r="Y64" s="2833"/>
      <c r="Z64" s="1206"/>
      <c r="AA64" s="1206"/>
      <c r="AB64" s="307"/>
      <c r="AC64" s="1145"/>
      <c r="AD64" s="1544"/>
      <c r="AE64" s="307"/>
      <c r="AF64" s="1145"/>
      <c r="AG64" s="1206"/>
      <c r="AH64" s="2969"/>
      <c r="AI64" s="255"/>
      <c r="AJ64" s="1544"/>
      <c r="AK64" s="494"/>
      <c r="AL64" s="2972"/>
    </row>
    <row r="65" spans="1:38" s="295" customFormat="1" ht="15" customHeight="1">
      <c r="A65" s="296"/>
      <c r="B65" s="1541" t="s">
        <v>1175</v>
      </c>
      <c r="C65" s="296"/>
      <c r="D65" s="1206">
        <f>'Exhibit G state'!D64+'Exhibit G Federal'!D34</f>
        <v>0</v>
      </c>
      <c r="E65" s="1206"/>
      <c r="F65" s="1206"/>
      <c r="G65" s="1206"/>
      <c r="H65" s="1206"/>
      <c r="I65"/>
      <c r="J65" s="1206"/>
      <c r="K65" s="2833"/>
      <c r="L65" s="1206"/>
      <c r="M65" s="2833"/>
      <c r="N65" s="1206"/>
      <c r="O65" s="2833"/>
      <c r="P65" s="1206"/>
      <c r="Q65" s="2833"/>
      <c r="R65" s="1206"/>
      <c r="S65" s="2833"/>
      <c r="T65" s="1206"/>
      <c r="U65" s="2833"/>
      <c r="V65" s="1206"/>
      <c r="W65" s="2833"/>
      <c r="X65" s="1206"/>
      <c r="Y65" s="2833"/>
      <c r="Z65" s="1206"/>
      <c r="AA65" s="1206"/>
      <c r="AB65" s="307">
        <v>0</v>
      </c>
      <c r="AC65" s="1145"/>
      <c r="AD65" s="1544">
        <f t="shared" si="21"/>
        <v>0</v>
      </c>
      <c r="AE65" s="307"/>
      <c r="AF65" s="1145"/>
      <c r="AG65" s="1206">
        <f>'Exhibit G state'!AG64+'Exhibit G Federal'!AG34</f>
        <v>0</v>
      </c>
      <c r="AH65" s="2969"/>
      <c r="AI65" s="255"/>
      <c r="AJ65" s="1544">
        <f t="shared" ref="AJ65:AJ70" si="24">ROUND(SUM(+AD65-AG65),1)</f>
        <v>0</v>
      </c>
      <c r="AK65" s="494"/>
      <c r="AL65" s="2843">
        <f t="shared" ref="AL65:AL70" si="25">ROUND(IF(AG65=0,0,AJ65/ABS(AG65)),3)</f>
        <v>0</v>
      </c>
    </row>
    <row r="66" spans="1:38" s="295" customFormat="1" ht="15" customHeight="1">
      <c r="A66" s="296"/>
      <c r="B66" s="1541" t="s">
        <v>1176</v>
      </c>
      <c r="C66" s="296"/>
      <c r="D66" s="1206">
        <f>'Exhibit G state'!D65+'Exhibit G Federal'!D35</f>
        <v>2.6</v>
      </c>
      <c r="E66" s="1206"/>
      <c r="F66" s="1206"/>
      <c r="G66" s="1206"/>
      <c r="H66" s="1206"/>
      <c r="I66"/>
      <c r="J66" s="1206"/>
      <c r="K66" s="2833"/>
      <c r="L66" s="1206"/>
      <c r="M66" s="2833"/>
      <c r="N66" s="1206"/>
      <c r="O66" s="2833"/>
      <c r="P66" s="1206"/>
      <c r="Q66" s="2833"/>
      <c r="R66" s="1206"/>
      <c r="S66" s="2833"/>
      <c r="T66" s="1206"/>
      <c r="U66" s="2833"/>
      <c r="V66" s="1206"/>
      <c r="W66" s="2833"/>
      <c r="X66" s="1206"/>
      <c r="Y66" s="2833"/>
      <c r="Z66" s="1206"/>
      <c r="AA66" s="1206"/>
      <c r="AB66" s="307">
        <v>0</v>
      </c>
      <c r="AC66" s="1145"/>
      <c r="AD66" s="1544">
        <f t="shared" si="21"/>
        <v>2.6</v>
      </c>
      <c r="AE66" s="307"/>
      <c r="AF66" s="1145"/>
      <c r="AG66" s="1206">
        <f>'Exhibit G state'!AG65+'Exhibit G Federal'!AG35</f>
        <v>0</v>
      </c>
      <c r="AH66" s="2969"/>
      <c r="AI66" s="255"/>
      <c r="AJ66" s="1544">
        <f t="shared" si="24"/>
        <v>2.6</v>
      </c>
      <c r="AK66" s="494"/>
      <c r="AL66" s="2843">
        <f>ROUND(IF(AG66=0,1,AJ66/ABS(AG66)),3)</f>
        <v>1</v>
      </c>
    </row>
    <row r="67" spans="1:38" s="295" customFormat="1" ht="15" customHeight="1">
      <c r="A67" s="296"/>
      <c r="B67" s="1541" t="s">
        <v>1177</v>
      </c>
      <c r="C67" s="296"/>
      <c r="D67" s="1206">
        <f>'Exhibit G state'!D66+'Exhibit G Federal'!D36</f>
        <v>7.2</v>
      </c>
      <c r="E67" s="1206"/>
      <c r="F67" s="1206"/>
      <c r="G67" s="1206"/>
      <c r="H67" s="1206"/>
      <c r="I67"/>
      <c r="J67" s="1206"/>
      <c r="K67" s="2833"/>
      <c r="L67" s="1206"/>
      <c r="M67" s="2833"/>
      <c r="N67" s="1206"/>
      <c r="O67" s="2833"/>
      <c r="P67" s="1206"/>
      <c r="Q67" s="2833"/>
      <c r="R67" s="1206"/>
      <c r="S67" s="2833"/>
      <c r="T67" s="1206"/>
      <c r="U67" s="2833"/>
      <c r="V67" s="1206"/>
      <c r="W67" s="2833"/>
      <c r="X67" s="1206"/>
      <c r="Y67" s="2833"/>
      <c r="Z67" s="1206"/>
      <c r="AA67" s="1206"/>
      <c r="AB67" s="307">
        <v>0</v>
      </c>
      <c r="AC67" s="1145"/>
      <c r="AD67" s="1544">
        <f t="shared" si="21"/>
        <v>7.2</v>
      </c>
      <c r="AE67" s="307"/>
      <c r="AF67" s="1145"/>
      <c r="AG67" s="1206">
        <f>'Exhibit G state'!AG66+'Exhibit G Federal'!AG36</f>
        <v>3</v>
      </c>
      <c r="AH67" s="2969"/>
      <c r="AI67" s="255"/>
      <c r="AJ67" s="1544">
        <f t="shared" si="24"/>
        <v>4.2</v>
      </c>
      <c r="AK67" s="494"/>
      <c r="AL67" s="2849">
        <f t="shared" si="25"/>
        <v>1.4</v>
      </c>
    </row>
    <row r="68" spans="1:38" s="295" customFormat="1" ht="15" customHeight="1">
      <c r="A68" s="296"/>
      <c r="B68" s="1541" t="s">
        <v>1178</v>
      </c>
      <c r="C68" s="296"/>
      <c r="D68" s="1206">
        <f>'Exhibit G state'!D67+'Exhibit G Federal'!D37</f>
        <v>5</v>
      </c>
      <c r="E68" s="1206"/>
      <c r="F68" s="1206"/>
      <c r="G68" s="1206"/>
      <c r="H68" s="1206"/>
      <c r="I68"/>
      <c r="J68" s="1206"/>
      <c r="K68" s="2833"/>
      <c r="L68" s="1206"/>
      <c r="M68" s="2833"/>
      <c r="N68" s="1206"/>
      <c r="O68" s="2833"/>
      <c r="P68" s="1206"/>
      <c r="Q68" s="2833"/>
      <c r="R68" s="1206"/>
      <c r="S68" s="2833"/>
      <c r="T68" s="1206"/>
      <c r="U68" s="2833"/>
      <c r="V68" s="1206"/>
      <c r="W68" s="2833"/>
      <c r="X68" s="1206"/>
      <c r="Y68" s="2833"/>
      <c r="Z68" s="1206"/>
      <c r="AA68" s="1206"/>
      <c r="AB68" s="307">
        <v>0</v>
      </c>
      <c r="AC68" s="1145"/>
      <c r="AD68" s="1544">
        <f t="shared" si="21"/>
        <v>5</v>
      </c>
      <c r="AE68" s="307"/>
      <c r="AF68" s="1145"/>
      <c r="AG68" s="1206">
        <f>'Exhibit G state'!AG67+'Exhibit G Federal'!AG37</f>
        <v>7.7</v>
      </c>
      <c r="AH68" s="2969"/>
      <c r="AI68" s="255"/>
      <c r="AJ68" s="1544">
        <f t="shared" si="24"/>
        <v>-2.7</v>
      </c>
      <c r="AK68" s="494"/>
      <c r="AL68" s="2844">
        <f t="shared" si="25"/>
        <v>-0.35099999999999998</v>
      </c>
    </row>
    <row r="69" spans="1:38" s="295" customFormat="1" ht="15" customHeight="1">
      <c r="A69" s="296"/>
      <c r="B69" s="1541" t="s">
        <v>1148</v>
      </c>
      <c r="C69" s="296"/>
      <c r="D69" s="1206">
        <f>'Exhibit G state'!D68+'Exhibit G Federal'!D38</f>
        <v>4.0999999999999996</v>
      </c>
      <c r="E69" s="1206"/>
      <c r="F69" s="1206"/>
      <c r="G69" s="1206"/>
      <c r="H69" s="1206"/>
      <c r="I69"/>
      <c r="J69" s="1206"/>
      <c r="K69" s="2833"/>
      <c r="L69" s="1206"/>
      <c r="M69" s="2833"/>
      <c r="N69" s="1206"/>
      <c r="O69" s="2833"/>
      <c r="P69" s="1206"/>
      <c r="Q69" s="2833"/>
      <c r="R69" s="1206"/>
      <c r="S69" s="2833"/>
      <c r="T69" s="1206"/>
      <c r="U69" s="2833"/>
      <c r="V69" s="1206"/>
      <c r="W69" s="2833"/>
      <c r="X69" s="1206"/>
      <c r="Y69" s="2833"/>
      <c r="Z69" s="1206"/>
      <c r="AA69" s="1206"/>
      <c r="AB69" s="307">
        <v>0</v>
      </c>
      <c r="AC69" s="1145"/>
      <c r="AD69" s="1544">
        <f t="shared" si="21"/>
        <v>4.0999999999999996</v>
      </c>
      <c r="AE69" s="307"/>
      <c r="AF69" s="1145"/>
      <c r="AG69" s="1206">
        <f>'Exhibit G state'!AG68+'Exhibit G Federal'!AG38</f>
        <v>5.3</v>
      </c>
      <c r="AH69" s="2969"/>
      <c r="AI69" s="255"/>
      <c r="AJ69" s="1544">
        <f t="shared" si="24"/>
        <v>-1.2</v>
      </c>
      <c r="AK69" s="494"/>
      <c r="AL69" s="2844">
        <f t="shared" si="25"/>
        <v>-0.22600000000000001</v>
      </c>
    </row>
    <row r="70" spans="1:38" s="295" customFormat="1" ht="15" customHeight="1">
      <c r="A70" s="296"/>
      <c r="B70" s="1541" t="s">
        <v>1149</v>
      </c>
      <c r="C70" s="296"/>
      <c r="D70" s="1206">
        <f>'Exhibit G state'!D69+'Exhibit G Federal'!D39</f>
        <v>38.700000000000003</v>
      </c>
      <c r="E70" s="1206"/>
      <c r="F70" s="1206"/>
      <c r="G70" s="1206"/>
      <c r="H70" s="1206"/>
      <c r="I70"/>
      <c r="J70" s="1206"/>
      <c r="K70" s="2833"/>
      <c r="L70" s="1206"/>
      <c r="M70" s="2833"/>
      <c r="N70" s="1206"/>
      <c r="O70" s="2833"/>
      <c r="P70" s="1206"/>
      <c r="Q70" s="2833"/>
      <c r="R70" s="1206"/>
      <c r="S70" s="2833"/>
      <c r="T70" s="1206"/>
      <c r="U70" s="2833"/>
      <c r="V70" s="1206"/>
      <c r="W70" s="2833"/>
      <c r="X70" s="1206"/>
      <c r="Y70" s="2833"/>
      <c r="Z70" s="1206"/>
      <c r="AA70" s="1206"/>
      <c r="AB70" s="307">
        <v>0</v>
      </c>
      <c r="AC70" s="1145"/>
      <c r="AD70" s="1544">
        <f t="shared" si="21"/>
        <v>38.700000000000003</v>
      </c>
      <c r="AE70" s="307"/>
      <c r="AF70" s="1145"/>
      <c r="AG70" s="1206">
        <f>'Exhibit G state'!AG69+'Exhibit G Federal'!AG39</f>
        <v>44.6</v>
      </c>
      <c r="AH70" s="2969"/>
      <c r="AI70" s="255"/>
      <c r="AJ70" s="1544">
        <f t="shared" si="24"/>
        <v>-5.9</v>
      </c>
      <c r="AK70" s="494"/>
      <c r="AL70" s="2970">
        <f t="shared" si="25"/>
        <v>-0.13200000000000001</v>
      </c>
    </row>
    <row r="71" spans="1:38" s="295" customFormat="1" ht="15" customHeight="1">
      <c r="A71" s="296"/>
      <c r="B71" s="1541" t="s">
        <v>1258</v>
      </c>
      <c r="C71" s="296"/>
      <c r="D71" s="1206"/>
      <c r="E71" s="1206"/>
      <c r="F71" s="1206"/>
      <c r="G71"/>
      <c r="H71" s="1206"/>
      <c r="I71"/>
      <c r="J71" s="1206"/>
      <c r="K71" s="2833"/>
      <c r="L71" s="1206"/>
      <c r="M71" s="2833"/>
      <c r="N71" s="1206"/>
      <c r="O71" s="2833"/>
      <c r="P71" s="1206"/>
      <c r="Q71" s="2833"/>
      <c r="R71" s="1206"/>
      <c r="S71" s="2833"/>
      <c r="T71" s="1206"/>
      <c r="U71" s="2833"/>
      <c r="V71" s="1206"/>
      <c r="W71" s="2833"/>
      <c r="X71" s="1206"/>
      <c r="Y71" s="2833"/>
      <c r="Z71" s="1206"/>
      <c r="AA71" s="1206"/>
      <c r="AB71" s="307"/>
      <c r="AC71" s="1145"/>
      <c r="AD71" s="1544"/>
      <c r="AE71" s="307"/>
      <c r="AF71" s="1145"/>
      <c r="AG71" s="1206"/>
      <c r="AH71" s="2969"/>
      <c r="AI71" s="255"/>
      <c r="AJ71" s="1544"/>
      <c r="AK71" s="494"/>
      <c r="AL71" s="2964"/>
    </row>
    <row r="72" spans="1:38" s="295" customFormat="1" ht="15" customHeight="1">
      <c r="A72" s="296"/>
      <c r="B72" s="1541" t="s">
        <v>1179</v>
      </c>
      <c r="C72" s="296"/>
      <c r="D72" s="1206">
        <f>'Exhibit G state'!D71+'Exhibit G Federal'!D41</f>
        <v>14.8</v>
      </c>
      <c r="E72" s="1206"/>
      <c r="F72" s="1206"/>
      <c r="G72" s="1206"/>
      <c r="H72" s="1206"/>
      <c r="I72"/>
      <c r="J72" s="1206"/>
      <c r="K72" s="2833"/>
      <c r="L72" s="1206"/>
      <c r="M72" s="2833"/>
      <c r="N72" s="1206"/>
      <c r="O72" s="2833"/>
      <c r="P72" s="1206"/>
      <c r="Q72" s="2833"/>
      <c r="R72" s="1206"/>
      <c r="S72" s="2833"/>
      <c r="T72" s="1206"/>
      <c r="U72" s="2833"/>
      <c r="V72" s="1206"/>
      <c r="W72" s="2833"/>
      <c r="X72" s="1206"/>
      <c r="Y72" s="2833"/>
      <c r="Z72" s="1206"/>
      <c r="AA72" s="1206"/>
      <c r="AB72" s="307">
        <v>0</v>
      </c>
      <c r="AC72" s="1145"/>
      <c r="AD72" s="1544">
        <f t="shared" si="21"/>
        <v>14.8</v>
      </c>
      <c r="AE72" s="307"/>
      <c r="AF72" s="1145"/>
      <c r="AG72" s="1206">
        <f>'Exhibit G state'!AG71+'Exhibit G Federal'!AG41</f>
        <v>12.4</v>
      </c>
      <c r="AH72" s="2969"/>
      <c r="AI72" s="255"/>
      <c r="AJ72" s="1544">
        <f t="shared" ref="AJ72:AJ82" si="26">ROUND(SUM(+AD72-AG72),1)</f>
        <v>2.4</v>
      </c>
      <c r="AK72" s="494"/>
      <c r="AL72" s="2849">
        <f>ROUND(IF(AG72=0,0,AJ72/ABS(AG72)),3)</f>
        <v>0.19400000000000001</v>
      </c>
    </row>
    <row r="73" spans="1:38" s="295" customFormat="1" ht="15" customHeight="1">
      <c r="A73" s="296"/>
      <c r="B73" s="1541" t="s">
        <v>1180</v>
      </c>
      <c r="C73" s="296"/>
      <c r="D73" s="1206">
        <f>'Exhibit G state'!D72+'Exhibit G Federal'!D42</f>
        <v>0.4</v>
      </c>
      <c r="E73" s="1206"/>
      <c r="F73" s="1206"/>
      <c r="G73" s="1206"/>
      <c r="H73" s="1206"/>
      <c r="I73"/>
      <c r="J73" s="1206"/>
      <c r="K73" s="2833"/>
      <c r="L73" s="1206"/>
      <c r="M73" s="2833"/>
      <c r="N73" s="1206"/>
      <c r="O73" s="2833"/>
      <c r="P73" s="1206"/>
      <c r="Q73" s="2833"/>
      <c r="R73" s="1206"/>
      <c r="S73" s="2833"/>
      <c r="T73" s="1206"/>
      <c r="U73" s="2833"/>
      <c r="V73" s="1206"/>
      <c r="W73" s="2833"/>
      <c r="X73" s="1206"/>
      <c r="Y73" s="2833"/>
      <c r="Z73" s="1206"/>
      <c r="AA73" s="1206"/>
      <c r="AB73" s="307">
        <v>0</v>
      </c>
      <c r="AC73" s="1145"/>
      <c r="AD73" s="1544">
        <f t="shared" si="21"/>
        <v>0.4</v>
      </c>
      <c r="AE73" s="307"/>
      <c r="AF73" s="1145"/>
      <c r="AG73" s="1206">
        <f>'Exhibit G state'!AG72+'Exhibit G Federal'!AG42</f>
        <v>0</v>
      </c>
      <c r="AH73" s="2969"/>
      <c r="AI73" s="255"/>
      <c r="AJ73" s="1544">
        <f t="shared" si="26"/>
        <v>0.4</v>
      </c>
      <c r="AK73" s="494"/>
      <c r="AL73" s="2843">
        <f>ROUND(IF(AG73=0,1,AJ73/ABS(AG73)),3)</f>
        <v>1</v>
      </c>
    </row>
    <row r="74" spans="1:38" s="295" customFormat="1" ht="15" customHeight="1">
      <c r="A74" s="296"/>
      <c r="B74" s="1541" t="s">
        <v>1181</v>
      </c>
      <c r="C74" s="296"/>
      <c r="D74" s="1206">
        <f>'Exhibit G state'!D73+'Exhibit G Federal'!D43</f>
        <v>1.5</v>
      </c>
      <c r="E74" s="1206"/>
      <c r="F74" s="1206"/>
      <c r="G74" s="1206"/>
      <c r="H74" s="1206"/>
      <c r="I74"/>
      <c r="J74" s="1206"/>
      <c r="K74" s="2833"/>
      <c r="L74" s="1206"/>
      <c r="M74" s="2833"/>
      <c r="N74" s="1206"/>
      <c r="O74" s="2833"/>
      <c r="P74" s="1206"/>
      <c r="Q74" s="2833"/>
      <c r="R74" s="1206"/>
      <c r="S74" s="2833"/>
      <c r="T74" s="1206"/>
      <c r="U74" s="2833"/>
      <c r="V74" s="1206"/>
      <c r="W74" s="2833"/>
      <c r="X74" s="1206"/>
      <c r="Y74" s="2833"/>
      <c r="Z74" s="1206"/>
      <c r="AA74" s="1206"/>
      <c r="AB74" s="307">
        <v>0</v>
      </c>
      <c r="AC74" s="1145"/>
      <c r="AD74" s="1544">
        <f t="shared" si="21"/>
        <v>1.5</v>
      </c>
      <c r="AE74" s="307"/>
      <c r="AF74" s="1145"/>
      <c r="AG74" s="1206">
        <f>'Exhibit G state'!AG73+'Exhibit G Federal'!AG43</f>
        <v>1.1000000000000001</v>
      </c>
      <c r="AH74" s="2969"/>
      <c r="AI74" s="255"/>
      <c r="AJ74" s="1544">
        <f t="shared" si="26"/>
        <v>0.4</v>
      </c>
      <c r="AK74" s="494"/>
      <c r="AL74" s="2843">
        <f t="shared" ref="AL74:AL77" si="27">ROUND(IF(AG74=0,0,AJ74/ABS(AG74)),3)</f>
        <v>0.36399999999999999</v>
      </c>
    </row>
    <row r="75" spans="1:38" s="295" customFormat="1" ht="15" customHeight="1">
      <c r="A75" s="296"/>
      <c r="B75" s="1541" t="s">
        <v>1182</v>
      </c>
      <c r="C75" s="296"/>
      <c r="D75" s="1206">
        <f>'Exhibit G state'!D74+'Exhibit G Federal'!D44</f>
        <v>0</v>
      </c>
      <c r="E75" s="1206"/>
      <c r="F75" s="1206"/>
      <c r="G75" s="1206"/>
      <c r="H75" s="1206"/>
      <c r="I75"/>
      <c r="J75" s="1206"/>
      <c r="K75" s="2833"/>
      <c r="L75" s="1206"/>
      <c r="M75" s="2833"/>
      <c r="N75" s="1206"/>
      <c r="O75" s="2833"/>
      <c r="P75" s="1206"/>
      <c r="Q75" s="2833"/>
      <c r="R75" s="1206"/>
      <c r="S75" s="2833"/>
      <c r="T75" s="1206"/>
      <c r="U75" s="2833"/>
      <c r="V75" s="1206"/>
      <c r="W75" s="2833"/>
      <c r="X75" s="1206"/>
      <c r="Y75" s="2833"/>
      <c r="Z75" s="1206"/>
      <c r="AA75" s="1206"/>
      <c r="AB75" s="307">
        <v>0</v>
      </c>
      <c r="AC75" s="1145"/>
      <c r="AD75" s="1544">
        <f t="shared" si="21"/>
        <v>0</v>
      </c>
      <c r="AE75" s="307"/>
      <c r="AF75" s="1145"/>
      <c r="AG75" s="1206">
        <f>'Exhibit G state'!AG74+'Exhibit G Federal'!AG44</f>
        <v>0</v>
      </c>
      <c r="AH75" s="2969"/>
      <c r="AI75" s="255"/>
      <c r="AJ75" s="1544">
        <f t="shared" si="26"/>
        <v>0</v>
      </c>
      <c r="AK75" s="494"/>
      <c r="AL75" s="2843">
        <f t="shared" si="27"/>
        <v>0</v>
      </c>
    </row>
    <row r="76" spans="1:38" s="295" customFormat="1" ht="15" customHeight="1">
      <c r="A76" s="296"/>
      <c r="B76" s="1541" t="s">
        <v>1183</v>
      </c>
      <c r="C76" s="296"/>
      <c r="D76" s="1206">
        <f>'Exhibit G state'!D75+'Exhibit G Federal'!D45</f>
        <v>204</v>
      </c>
      <c r="E76" s="1206"/>
      <c r="F76" s="1206"/>
      <c r="G76" s="1206"/>
      <c r="H76" s="1206"/>
      <c r="I76"/>
      <c r="J76" s="1206"/>
      <c r="K76" s="2833"/>
      <c r="L76" s="1206"/>
      <c r="M76" s="2833"/>
      <c r="N76" s="1206"/>
      <c r="O76" s="2833"/>
      <c r="P76" s="1206"/>
      <c r="Q76" s="2833"/>
      <c r="R76" s="1206"/>
      <c r="S76" s="2833"/>
      <c r="T76" s="1206"/>
      <c r="U76" s="2833"/>
      <c r="V76" s="1206"/>
      <c r="W76" s="2833"/>
      <c r="X76" s="1206"/>
      <c r="Y76" s="2833"/>
      <c r="Z76" s="1206"/>
      <c r="AA76" s="1206"/>
      <c r="AB76" s="307">
        <v>0</v>
      </c>
      <c r="AC76" s="1145"/>
      <c r="AD76" s="1544">
        <f t="shared" si="21"/>
        <v>204</v>
      </c>
      <c r="AE76" s="307"/>
      <c r="AF76" s="1145"/>
      <c r="AG76" s="1206">
        <f>'Exhibit G state'!AG75+'Exhibit G Federal'!AG45</f>
        <v>145.5</v>
      </c>
      <c r="AH76" s="2969"/>
      <c r="AI76" s="255"/>
      <c r="AJ76" s="1544">
        <f t="shared" si="26"/>
        <v>58.5</v>
      </c>
      <c r="AK76" s="494"/>
      <c r="AL76" s="2843">
        <f t="shared" si="27"/>
        <v>0.40200000000000002</v>
      </c>
    </row>
    <row r="77" spans="1:38" s="295" customFormat="1" ht="15" customHeight="1">
      <c r="A77" s="296"/>
      <c r="B77" s="1541" t="s">
        <v>1184</v>
      </c>
      <c r="C77" s="296"/>
      <c r="D77" s="1206">
        <f>'Exhibit G state'!D76+'Exhibit G Federal'!D46</f>
        <v>13.299999999999999</v>
      </c>
      <c r="E77" s="1206"/>
      <c r="F77" s="1206"/>
      <c r="G77" s="1206"/>
      <c r="H77" s="1206"/>
      <c r="I77"/>
      <c r="J77" s="1206"/>
      <c r="K77" s="2833"/>
      <c r="L77" s="1206"/>
      <c r="M77" s="2833"/>
      <c r="N77" s="1206"/>
      <c r="O77" s="2833"/>
      <c r="P77" s="1206"/>
      <c r="Q77" s="2833"/>
      <c r="R77" s="1206"/>
      <c r="S77" s="2833"/>
      <c r="T77" s="1206"/>
      <c r="U77" s="2833"/>
      <c r="V77" s="1206"/>
      <c r="W77" s="2833"/>
      <c r="X77" s="1206"/>
      <c r="Y77" s="2833"/>
      <c r="Z77" s="1206"/>
      <c r="AA77" s="1206"/>
      <c r="AB77" s="307">
        <v>0</v>
      </c>
      <c r="AC77" s="1145"/>
      <c r="AD77" s="1544">
        <f t="shared" si="21"/>
        <v>13.3</v>
      </c>
      <c r="AE77" s="307"/>
      <c r="AF77" s="1145"/>
      <c r="AG77" s="1206">
        <f>'Exhibit G state'!AG76+'Exhibit G Federal'!AG46</f>
        <v>12.600000000000001</v>
      </c>
      <c r="AH77" s="2969"/>
      <c r="AI77" s="255"/>
      <c r="AJ77" s="1544">
        <f t="shared" si="26"/>
        <v>0.7</v>
      </c>
      <c r="AK77" s="494"/>
      <c r="AL77" s="2843">
        <f t="shared" si="27"/>
        <v>5.6000000000000001E-2</v>
      </c>
    </row>
    <row r="78" spans="1:38" s="295" customFormat="1" ht="15" customHeight="1">
      <c r="A78" s="296"/>
      <c r="B78" s="1541" t="s">
        <v>1185</v>
      </c>
      <c r="C78" s="296"/>
      <c r="D78" s="1206">
        <f>'Exhibit G state'!D77+'Exhibit G Federal'!D47</f>
        <v>47.9</v>
      </c>
      <c r="E78" s="1206"/>
      <c r="F78" s="1206"/>
      <c r="G78" s="1206"/>
      <c r="H78" s="1206"/>
      <c r="I78"/>
      <c r="J78" s="1206"/>
      <c r="K78" s="2833"/>
      <c r="L78" s="1206"/>
      <c r="M78" s="2833"/>
      <c r="N78" s="1206"/>
      <c r="O78" s="2833"/>
      <c r="P78" s="1206"/>
      <c r="Q78" s="2833"/>
      <c r="R78" s="1206"/>
      <c r="S78" s="2833"/>
      <c r="T78" s="1206"/>
      <c r="U78" s="2833"/>
      <c r="V78" s="1206"/>
      <c r="W78" s="2833"/>
      <c r="X78" s="1206"/>
      <c r="Y78" s="2833"/>
      <c r="Z78" s="1206"/>
      <c r="AA78" s="1206"/>
      <c r="AB78" s="307">
        <v>0</v>
      </c>
      <c r="AC78" s="1145"/>
      <c r="AD78" s="1544">
        <f t="shared" si="21"/>
        <v>47.9</v>
      </c>
      <c r="AE78" s="307"/>
      <c r="AF78" s="1145"/>
      <c r="AG78" s="1206">
        <f>'Exhibit G state'!AG77+'Exhibit G Federal'!AG47</f>
        <v>5.3</v>
      </c>
      <c r="AH78" s="2969"/>
      <c r="AI78" s="255"/>
      <c r="AJ78" s="1544">
        <f t="shared" si="26"/>
        <v>42.6</v>
      </c>
      <c r="AK78" s="494"/>
      <c r="AL78" s="2849">
        <f>ROUND(IF(AG78=0,1,AJ78/ABS(AG78)),3)</f>
        <v>8.0380000000000003</v>
      </c>
    </row>
    <row r="79" spans="1:38" s="295" customFormat="1" ht="15" customHeight="1">
      <c r="A79" s="296"/>
      <c r="B79" s="1541" t="s">
        <v>1186</v>
      </c>
      <c r="C79" s="296"/>
      <c r="D79" s="1206">
        <f>'Exhibit G state'!D78+'Exhibit G Federal'!D48</f>
        <v>4.9000000000000004</v>
      </c>
      <c r="E79" s="1206"/>
      <c r="F79" s="1206"/>
      <c r="G79" s="1206"/>
      <c r="H79" s="1206"/>
      <c r="I79"/>
      <c r="J79" s="1206"/>
      <c r="K79" s="2833"/>
      <c r="L79" s="1206"/>
      <c r="M79" s="2833"/>
      <c r="N79" s="1206"/>
      <c r="O79" s="2833"/>
      <c r="P79" s="1206"/>
      <c r="Q79" s="2833"/>
      <c r="R79" s="1206"/>
      <c r="S79" s="2833"/>
      <c r="T79" s="1206"/>
      <c r="U79" s="2833"/>
      <c r="V79" s="1206"/>
      <c r="W79" s="2833"/>
      <c r="X79" s="1206"/>
      <c r="Y79" s="2833"/>
      <c r="Z79" s="1206"/>
      <c r="AA79" s="1206"/>
      <c r="AB79" s="307">
        <v>0</v>
      </c>
      <c r="AC79" s="1145"/>
      <c r="AD79" s="1544">
        <f t="shared" si="21"/>
        <v>4.9000000000000004</v>
      </c>
      <c r="AE79" s="307"/>
      <c r="AF79" s="1145"/>
      <c r="AG79" s="1206">
        <f>'Exhibit G state'!AG78+'Exhibit G Federal'!AG48</f>
        <v>8.1</v>
      </c>
      <c r="AH79" s="2969"/>
      <c r="AI79" s="255"/>
      <c r="AJ79" s="1544">
        <f t="shared" si="26"/>
        <v>-3.2</v>
      </c>
      <c r="AK79" s="494"/>
      <c r="AL79" s="2843">
        <f>ROUND(IF(AG79=0,0,AJ79/ABS(AG79)),3)</f>
        <v>-0.39500000000000002</v>
      </c>
    </row>
    <row r="80" spans="1:38" s="295" customFormat="1" ht="15" customHeight="1">
      <c r="A80" s="296"/>
      <c r="B80" s="1541" t="s">
        <v>1187</v>
      </c>
      <c r="C80" s="296"/>
      <c r="D80" s="1206">
        <f>'Exhibit G state'!D79+'Exhibit G Federal'!D49</f>
        <v>42.4</v>
      </c>
      <c r="E80" s="1206"/>
      <c r="F80" s="1206"/>
      <c r="G80" s="1206"/>
      <c r="H80" s="1206"/>
      <c r="I80"/>
      <c r="J80" s="1206"/>
      <c r="K80" s="2833"/>
      <c r="L80" s="1206"/>
      <c r="M80" s="2833"/>
      <c r="N80" s="1206"/>
      <c r="O80" s="2833"/>
      <c r="P80" s="1206"/>
      <c r="Q80" s="2833"/>
      <c r="R80" s="1206"/>
      <c r="S80" s="2833"/>
      <c r="T80" s="1206"/>
      <c r="U80" s="2833"/>
      <c r="V80" s="1206"/>
      <c r="W80" s="2833"/>
      <c r="X80" s="1206"/>
      <c r="Y80" s="2833"/>
      <c r="Z80" s="1206"/>
      <c r="AA80" s="1206"/>
      <c r="AB80" s="307">
        <v>0</v>
      </c>
      <c r="AC80" s="1145"/>
      <c r="AD80" s="1544">
        <f t="shared" si="21"/>
        <v>42.4</v>
      </c>
      <c r="AE80" s="307"/>
      <c r="AF80" s="1145"/>
      <c r="AG80" s="1206">
        <f>'Exhibit G state'!AG79+'Exhibit G Federal'!AG49</f>
        <v>49.5</v>
      </c>
      <c r="AH80" s="2969"/>
      <c r="AI80" s="255"/>
      <c r="AJ80" s="1544">
        <f t="shared" si="26"/>
        <v>-7.1</v>
      </c>
      <c r="AK80" s="494"/>
      <c r="AL80" s="2849">
        <f>ROUND(IF(AG80=0,0,AJ80/ABS(AG80)),3)</f>
        <v>-0.14299999999999999</v>
      </c>
    </row>
    <row r="81" spans="1:45" s="295" customFormat="1" ht="15" customHeight="1">
      <c r="A81" s="296"/>
      <c r="B81" s="1541" t="s">
        <v>1159</v>
      </c>
      <c r="C81" s="296"/>
      <c r="D81" s="1206">
        <f>'Exhibit G state'!D80+'Exhibit G Federal'!D50</f>
        <v>2.5</v>
      </c>
      <c r="E81" s="1206"/>
      <c r="F81" s="1206"/>
      <c r="G81" s="1206"/>
      <c r="H81" s="1206"/>
      <c r="I81"/>
      <c r="J81" s="1206"/>
      <c r="K81" s="2833"/>
      <c r="L81" s="1206"/>
      <c r="M81" s="2833"/>
      <c r="N81" s="1206"/>
      <c r="O81" s="2833"/>
      <c r="P81" s="1206"/>
      <c r="Q81" s="2833"/>
      <c r="R81" s="1206"/>
      <c r="S81" s="2833"/>
      <c r="T81" s="1206"/>
      <c r="U81" s="2833"/>
      <c r="V81" s="1206"/>
      <c r="W81" s="2833"/>
      <c r="X81" s="1206"/>
      <c r="Y81" s="2833"/>
      <c r="Z81" s="1206"/>
      <c r="AA81" s="1206"/>
      <c r="AB81" s="307">
        <v>0</v>
      </c>
      <c r="AC81" s="1145"/>
      <c r="AD81" s="307">
        <f t="shared" si="21"/>
        <v>2.5</v>
      </c>
      <c r="AE81" s="307"/>
      <c r="AF81" s="1145"/>
      <c r="AG81" s="1206">
        <f>'Exhibit G state'!AG80+'Exhibit G Federal'!AG50</f>
        <v>0.4</v>
      </c>
      <c r="AH81" s="2969"/>
      <c r="AI81" s="255"/>
      <c r="AJ81" s="1544">
        <f t="shared" si="26"/>
        <v>2.1</v>
      </c>
      <c r="AK81" s="494"/>
      <c r="AL81" s="2843">
        <f>ROUND(IF(AG81=0,0,AJ81/ABS(AG81)),3)</f>
        <v>5.25</v>
      </c>
    </row>
    <row r="82" spans="1:45" s="295" customFormat="1" ht="15" customHeight="1">
      <c r="A82" s="296"/>
      <c r="B82" s="1541" t="s">
        <v>1160</v>
      </c>
      <c r="C82" s="296"/>
      <c r="D82" s="1206">
        <f>'Exhibit G state'!D81+'Exhibit G Federal'!D51</f>
        <v>37.799999999999997</v>
      </c>
      <c r="E82" s="1206"/>
      <c r="F82" s="1206"/>
      <c r="G82" s="1206"/>
      <c r="H82" s="1206"/>
      <c r="I82"/>
      <c r="J82" s="1206"/>
      <c r="K82" s="2833"/>
      <c r="L82" s="1206"/>
      <c r="M82" s="2833"/>
      <c r="N82" s="1206"/>
      <c r="O82" s="2833"/>
      <c r="P82" s="1206"/>
      <c r="Q82" s="2833"/>
      <c r="R82" s="1206"/>
      <c r="S82" s="2833"/>
      <c r="T82" s="1206"/>
      <c r="U82" s="2833"/>
      <c r="V82" s="1206"/>
      <c r="W82" s="2833"/>
      <c r="X82" s="1206"/>
      <c r="Y82" s="2833"/>
      <c r="Z82" s="1206"/>
      <c r="AA82" s="1206"/>
      <c r="AB82" s="307">
        <v>0</v>
      </c>
      <c r="AC82" s="1145"/>
      <c r="AD82" s="307">
        <f t="shared" si="21"/>
        <v>37.799999999999997</v>
      </c>
      <c r="AE82" s="307"/>
      <c r="AF82" s="1145"/>
      <c r="AG82" s="1206">
        <f>'Exhibit G state'!AG81+'Exhibit G Federal'!AG51</f>
        <v>43.8</v>
      </c>
      <c r="AH82" s="2969"/>
      <c r="AI82" s="255"/>
      <c r="AJ82" s="1544">
        <f t="shared" si="26"/>
        <v>-6</v>
      </c>
      <c r="AK82" s="494"/>
      <c r="AL82" s="2843">
        <f>ROUND(IF(AG82=0,0,AJ82/ABS(AG82)),3)</f>
        <v>-0.13700000000000001</v>
      </c>
    </row>
    <row r="83" spans="1:45" s="1284" customFormat="1" ht="15" customHeight="1">
      <c r="A83" s="294"/>
      <c r="B83" s="555" t="s">
        <v>1340</v>
      </c>
      <c r="C83" s="294"/>
      <c r="D83" s="2514">
        <f>ROUND(SUM(D45:D82),1)</f>
        <v>1537.5</v>
      </c>
      <c r="E83"/>
      <c r="F83" s="463">
        <f>ROUND(SUM(F45:F82),1)</f>
        <v>0</v>
      </c>
      <c r="G83"/>
      <c r="H83" s="463">
        <f>ROUND(SUM(H45:H82),1)</f>
        <v>0</v>
      </c>
      <c r="I83"/>
      <c r="J83" s="463">
        <f>ROUND(SUM(J45:J82),1)</f>
        <v>0</v>
      </c>
      <c r="K83" s="2833"/>
      <c r="L83" s="2514">
        <f>ROUND(SUM(L45:L82),1)</f>
        <v>0</v>
      </c>
      <c r="M83" s="2833"/>
      <c r="N83" s="2514">
        <f>ROUND(SUM(N45:N82),1)</f>
        <v>0</v>
      </c>
      <c r="O83" s="2833"/>
      <c r="P83" s="2514">
        <f>ROUND(SUM(P45:P82),1)</f>
        <v>0</v>
      </c>
      <c r="Q83" s="2833"/>
      <c r="R83" s="2514">
        <f>ROUND(SUM(R45:R82),1)</f>
        <v>0</v>
      </c>
      <c r="S83" s="2833"/>
      <c r="T83" s="2514">
        <f>ROUND(SUM(T45:T82),1)</f>
        <v>0</v>
      </c>
      <c r="U83" s="2833"/>
      <c r="V83" s="2514">
        <f>ROUND(SUM(V45:V82),1)</f>
        <v>0</v>
      </c>
      <c r="W83" s="2833"/>
      <c r="X83" s="2514">
        <f>ROUND(SUM(X45:X82),1)</f>
        <v>0</v>
      </c>
      <c r="Y83" s="2833"/>
      <c r="Z83" s="2514">
        <f>ROUND(SUM(Z45:Z82),1)</f>
        <v>0</v>
      </c>
      <c r="AA83" s="304"/>
      <c r="AB83" s="249">
        <f>SUM(AB45:AB82)</f>
        <v>0</v>
      </c>
      <c r="AC83" s="1146"/>
      <c r="AD83" s="2514">
        <f>ROUND(SUM(AD45:AD82),1)</f>
        <v>1537.5</v>
      </c>
      <c r="AE83" s="301"/>
      <c r="AF83" s="1146"/>
      <c r="AG83" s="2514">
        <f>ROUND(SUM(AG45:AG82),1)</f>
        <v>1256.2</v>
      </c>
      <c r="AH83" s="2967"/>
      <c r="AI83" s="304"/>
      <c r="AJ83" s="2514">
        <f>ROUND(SUM(AJ45:AJ82),1)</f>
        <v>281.3</v>
      </c>
      <c r="AK83" s="2971"/>
      <c r="AL83" s="2974">
        <f>ROUND(SUM(+AJ83/AG83),3)</f>
        <v>0.224</v>
      </c>
    </row>
    <row r="84" spans="1:45" ht="15" customHeight="1">
      <c r="A84" s="218"/>
      <c r="B84" s="1443"/>
      <c r="C84" s="218"/>
      <c r="D84" s="494"/>
      <c r="F84" s="2502"/>
      <c r="H84" s="2502"/>
      <c r="J84" s="2502"/>
      <c r="L84" s="254"/>
      <c r="N84" s="254"/>
      <c r="P84" s="254"/>
      <c r="R84" s="254"/>
      <c r="T84" s="265"/>
      <c r="V84" s="265"/>
      <c r="X84" s="265"/>
      <c r="Z84" s="265"/>
      <c r="AA84" s="494"/>
      <c r="AB84" s="254"/>
      <c r="AC84" s="244"/>
      <c r="AD84" s="254"/>
      <c r="AE84" s="254"/>
      <c r="AF84" s="244"/>
      <c r="AG84" s="254"/>
      <c r="AH84" s="491"/>
      <c r="AI84" s="243"/>
      <c r="AJ84" s="1042"/>
      <c r="AK84" s="242"/>
      <c r="AL84" s="2316"/>
    </row>
    <row r="85" spans="1:45" s="295" customFormat="1" ht="15" customHeight="1">
      <c r="A85" s="296"/>
      <c r="B85" s="2960" t="s">
        <v>151</v>
      </c>
      <c r="C85" s="296"/>
      <c r="D85" s="1206">
        <f>'Exhibit G state'!D84+'Exhibit G Federal'!D54</f>
        <v>3557.3</v>
      </c>
      <c r="E85" s="1188"/>
      <c r="F85" s="1206"/>
      <c r="G85" s="1188"/>
      <c r="H85" s="1206"/>
      <c r="I85"/>
      <c r="J85" s="1206"/>
      <c r="K85" s="2833"/>
      <c r="L85" s="1206"/>
      <c r="M85" s="2833"/>
      <c r="N85" s="1206"/>
      <c r="O85" s="2833"/>
      <c r="P85" s="1206"/>
      <c r="Q85" s="2833"/>
      <c r="R85" s="1206"/>
      <c r="S85" s="2833"/>
      <c r="T85" s="1206"/>
      <c r="U85" s="2833"/>
      <c r="V85" s="1206"/>
      <c r="W85" s="2833"/>
      <c r="X85" s="1206"/>
      <c r="Y85" s="2833"/>
      <c r="Z85" s="1206"/>
      <c r="AA85" s="1206"/>
      <c r="AB85" s="3103">
        <v>0</v>
      </c>
      <c r="AC85" s="1145"/>
      <c r="AD85" s="307">
        <f t="shared" si="21"/>
        <v>3557.3</v>
      </c>
      <c r="AE85" s="307"/>
      <c r="AF85" s="1145"/>
      <c r="AG85" s="1206">
        <f>'Exhibit G state'!AG84+'Exhibit G Federal'!AG54</f>
        <v>3337.1</v>
      </c>
      <c r="AH85" s="1795"/>
      <c r="AI85" s="255"/>
      <c r="AJ85" s="1740">
        <f>ROUND(SUM(+AD85-AG85),1)</f>
        <v>220.2</v>
      </c>
      <c r="AK85" s="2961"/>
      <c r="AL85" s="2843">
        <f>ROUND(IF(AG85=0,0,AJ85/ABS(AG85)),3)</f>
        <v>6.6000000000000003E-2</v>
      </c>
    </row>
    <row r="86" spans="1:45" ht="15" customHeight="1">
      <c r="A86" s="218"/>
      <c r="B86" s="218"/>
      <c r="C86" s="218"/>
      <c r="D86" s="277"/>
      <c r="F86" s="1210"/>
      <c r="H86" s="1210"/>
      <c r="J86" s="1210"/>
      <c r="L86" s="277"/>
      <c r="N86" s="277"/>
      <c r="P86" s="277"/>
      <c r="R86" s="277"/>
      <c r="T86" s="277"/>
      <c r="V86" s="277"/>
      <c r="X86" s="277"/>
      <c r="Z86" s="277"/>
      <c r="AA86" s="243"/>
      <c r="AB86" s="3099"/>
      <c r="AC86" s="243"/>
      <c r="AD86" s="277"/>
      <c r="AE86" s="254"/>
      <c r="AF86" s="244"/>
      <c r="AG86" s="277"/>
      <c r="AH86" s="491"/>
      <c r="AI86" s="243"/>
      <c r="AJ86" s="2276"/>
      <c r="AL86" s="2333"/>
    </row>
    <row r="87" spans="1:45" ht="15" customHeight="1">
      <c r="A87" s="218"/>
      <c r="B87" s="216" t="s">
        <v>152</v>
      </c>
      <c r="C87" s="218"/>
      <c r="D87" s="1587">
        <f>ROUND(SUM(D85+D83+D41),1)</f>
        <v>5453.2</v>
      </c>
      <c r="F87" s="1587">
        <f>ROUND(SUM(F85+F83+F41),1)</f>
        <v>0</v>
      </c>
      <c r="H87" s="1587">
        <f>ROUND(SUM(H85+H83+H41),1)</f>
        <v>0</v>
      </c>
      <c r="J87" s="1587">
        <f>ROUND(SUM(J85+J83+J41),1)</f>
        <v>0</v>
      </c>
      <c r="L87" s="1587">
        <f t="shared" ref="L87:V87" si="28">ROUND(SUM(L85+L83+L41),1)</f>
        <v>0</v>
      </c>
      <c r="N87" s="1587">
        <f t="shared" ref="N87" si="29">ROUND(SUM(N85+N83+N41),1)</f>
        <v>0</v>
      </c>
      <c r="P87" s="1587">
        <f>ROUND(SUM(P85+P83+P41),1)</f>
        <v>0</v>
      </c>
      <c r="R87" s="1587">
        <f t="shared" ref="R87" si="30">ROUND(SUM(R85+R83+R41),1)</f>
        <v>0</v>
      </c>
      <c r="T87" s="1587">
        <f t="shared" si="28"/>
        <v>0</v>
      </c>
      <c r="V87" s="1587">
        <f t="shared" si="28"/>
        <v>0</v>
      </c>
      <c r="X87" s="1587">
        <f t="shared" ref="X87:Z87" si="31">ROUND(SUM(X85+X83+X41),1)</f>
        <v>0</v>
      </c>
      <c r="Z87" s="1587">
        <f t="shared" si="31"/>
        <v>0</v>
      </c>
      <c r="AA87" s="1587"/>
      <c r="AB87" s="3105">
        <f t="shared" ref="AB87" si="32">ROUND(SUM(AB85+AB83+AB41),1)</f>
        <v>0</v>
      </c>
      <c r="AC87" s="252"/>
      <c r="AD87" s="1587">
        <f>ROUND(SUM(AD85+AD83+AD41),1)</f>
        <v>5453.2</v>
      </c>
      <c r="AE87" s="250"/>
      <c r="AF87" s="252"/>
      <c r="AG87" s="1587">
        <f>ROUND(SUM(AG85+AG83+AG41),1)</f>
        <v>5031.1000000000004</v>
      </c>
      <c r="AH87" s="498"/>
      <c r="AI87" s="264"/>
      <c r="AJ87" s="262">
        <f>ROUND(SUM(AJ85+AJ83+AJ41),1)</f>
        <v>422.1</v>
      </c>
      <c r="AK87" s="500"/>
      <c r="AL87" s="2321">
        <f>ROUND(SUM(+AJ87/AG87),3)</f>
        <v>8.4000000000000005E-2</v>
      </c>
    </row>
    <row r="88" spans="1:45" ht="15" customHeight="1">
      <c r="A88" s="218"/>
      <c r="B88" s="218"/>
      <c r="C88" s="218"/>
      <c r="D88" s="277"/>
      <c r="F88" s="1210"/>
      <c r="H88" s="1210"/>
      <c r="J88" s="1210"/>
      <c r="L88" s="277"/>
      <c r="N88" s="277"/>
      <c r="P88" s="277"/>
      <c r="R88" s="277"/>
      <c r="T88" s="277"/>
      <c r="V88" s="277"/>
      <c r="X88" s="277"/>
      <c r="Z88" s="277"/>
      <c r="AA88" s="243"/>
      <c r="AB88" s="254"/>
      <c r="AC88" s="244"/>
      <c r="AD88" s="277"/>
      <c r="AE88" s="254"/>
      <c r="AF88" s="244"/>
      <c r="AG88" s="277"/>
      <c r="AH88" s="491"/>
      <c r="AI88" s="243"/>
      <c r="AJ88" s="1042"/>
      <c r="AL88" s="2316"/>
    </row>
    <row r="89" spans="1:45" ht="15" customHeight="1">
      <c r="A89" s="218"/>
      <c r="B89" s="363" t="s">
        <v>23</v>
      </c>
      <c r="C89" s="218"/>
      <c r="D89" s="254"/>
      <c r="F89" s="2502"/>
      <c r="H89" s="2502"/>
      <c r="J89" s="2502"/>
      <c r="L89" s="254"/>
      <c r="N89" s="254"/>
      <c r="P89" s="254"/>
      <c r="R89" s="254"/>
      <c r="T89" s="254"/>
      <c r="V89" s="254"/>
      <c r="X89" s="254"/>
      <c r="Z89" s="254"/>
      <c r="AA89" s="254"/>
      <c r="AB89" s="254"/>
      <c r="AC89" s="244"/>
      <c r="AD89" s="254"/>
      <c r="AE89" s="1373"/>
      <c r="AF89" s="1370"/>
      <c r="AG89" s="254"/>
      <c r="AH89" s="491"/>
      <c r="AI89" s="243"/>
      <c r="AJ89" s="1042"/>
      <c r="AL89" s="2316"/>
    </row>
    <row r="90" spans="1:45" ht="15" customHeight="1">
      <c r="A90" s="218"/>
      <c r="B90" s="1212" t="s">
        <v>153</v>
      </c>
      <c r="C90" s="218"/>
      <c r="D90" s="494"/>
      <c r="F90" s="1188"/>
      <c r="H90" s="1544"/>
      <c r="J90" s="1544"/>
      <c r="L90" s="307"/>
      <c r="N90" s="307"/>
      <c r="P90" s="307"/>
      <c r="R90" s="307"/>
      <c r="T90" s="265"/>
      <c r="V90" s="265"/>
      <c r="X90" s="265"/>
      <c r="Z90" s="265"/>
      <c r="AA90" s="494"/>
      <c r="AB90" s="254"/>
      <c r="AC90" s="244"/>
      <c r="AD90" s="254"/>
      <c r="AE90" s="254"/>
      <c r="AF90" s="244"/>
      <c r="AG90" s="307"/>
      <c r="AH90" s="491"/>
      <c r="AI90" s="243"/>
      <c r="AJ90" s="1042"/>
      <c r="AL90" s="2334"/>
    </row>
    <row r="91" spans="1:45" s="295" customFormat="1" ht="15" customHeight="1">
      <c r="A91" s="296"/>
      <c r="B91" s="2956" t="s">
        <v>25</v>
      </c>
      <c r="C91" s="296"/>
      <c r="D91" s="1206">
        <f>'Exhibit G state'!D90+'Exhibit G Federal'!D60</f>
        <v>378.20000000000005</v>
      </c>
      <c r="E91" s="1188"/>
      <c r="F91" s="1206"/>
      <c r="G91" s="1188"/>
      <c r="H91" s="1206"/>
      <c r="I91"/>
      <c r="J91" s="1206"/>
      <c r="K91" s="2833"/>
      <c r="L91" s="1206"/>
      <c r="M91" s="2833"/>
      <c r="N91" s="1206"/>
      <c r="O91" s="2833"/>
      <c r="P91" s="1206"/>
      <c r="Q91" s="2833"/>
      <c r="R91" s="1206"/>
      <c r="S91" s="2833"/>
      <c r="T91" s="1206"/>
      <c r="U91" s="2833"/>
      <c r="V91" s="1206"/>
      <c r="W91" s="2833"/>
      <c r="X91" s="1206"/>
      <c r="Y91" s="2833"/>
      <c r="Z91" s="1206"/>
      <c r="AA91" s="1206"/>
      <c r="AB91" s="307">
        <v>0</v>
      </c>
      <c r="AC91" s="1145"/>
      <c r="AD91" s="307">
        <f>ROUND(SUM(D91:Z91),1)</f>
        <v>378.2</v>
      </c>
      <c r="AE91" s="307"/>
      <c r="AF91" s="1145"/>
      <c r="AG91" s="1206">
        <f>'Exhibit G state'!AG90+'Exhibit G Federal'!AG60</f>
        <v>263.60000000000002</v>
      </c>
      <c r="AH91" s="1795"/>
      <c r="AI91" s="255"/>
      <c r="AJ91" s="1544">
        <f>ROUND(SUM(+AD91-AG91),1)</f>
        <v>114.6</v>
      </c>
      <c r="AK91" s="2961"/>
      <c r="AL91" s="2843">
        <f>ROUND(IF(AG91=0,0,AJ91/ABS(AG91)),3)</f>
        <v>0.435</v>
      </c>
      <c r="AR91" s="329"/>
      <c r="AS91" s="456"/>
    </row>
    <row r="92" spans="1:45" s="295" customFormat="1" ht="15" customHeight="1">
      <c r="A92" s="296"/>
      <c r="B92" s="2956" t="s">
        <v>26</v>
      </c>
      <c r="C92" s="296"/>
      <c r="D92" s="1206">
        <f>'Exhibit G state'!D91+'Exhibit G Federal'!D61</f>
        <v>0</v>
      </c>
      <c r="E92" s="1188"/>
      <c r="F92" s="1206"/>
      <c r="G92" s="1188"/>
      <c r="H92" s="1206"/>
      <c r="I92"/>
      <c r="J92" s="1206"/>
      <c r="K92" s="2833"/>
      <c r="L92" s="1206"/>
      <c r="M92" s="2833"/>
      <c r="N92" s="1206"/>
      <c r="O92" s="2833"/>
      <c r="P92" s="1206"/>
      <c r="Q92" s="2833"/>
      <c r="R92" s="1206"/>
      <c r="S92" s="2833"/>
      <c r="T92" s="1206"/>
      <c r="U92" s="2833"/>
      <c r="V92" s="1206"/>
      <c r="W92" s="2833"/>
      <c r="X92" s="1206"/>
      <c r="Y92" s="2833"/>
      <c r="Z92" s="1206"/>
      <c r="AA92" s="1206"/>
      <c r="AB92" s="307">
        <v>0</v>
      </c>
      <c r="AC92" s="1145"/>
      <c r="AD92" s="307">
        <f>ROUND(SUM(D92:Z92),1)</f>
        <v>0</v>
      </c>
      <c r="AE92" s="307"/>
      <c r="AF92" s="1145"/>
      <c r="AG92" s="1206">
        <f>'Exhibit G state'!AG91+'Exhibit G Federal'!AG61</f>
        <v>0.3</v>
      </c>
      <c r="AH92" s="1795"/>
      <c r="AI92" s="255"/>
      <c r="AJ92" s="1544">
        <f>ROUND(SUM(+AD92-AG92),1)</f>
        <v>-0.3</v>
      </c>
      <c r="AK92" s="2961"/>
      <c r="AL92" s="2849">
        <f>ROUND(IF(AG92=0,0,AJ92/ABS(AG92)),3)</f>
        <v>-1</v>
      </c>
      <c r="AR92" s="456"/>
      <c r="AS92" s="456"/>
    </row>
    <row r="93" spans="1:45" s="295" customFormat="1" ht="15" customHeight="1">
      <c r="A93" s="296"/>
      <c r="B93" s="2956" t="s">
        <v>27</v>
      </c>
      <c r="C93" s="296"/>
      <c r="D93" s="1206">
        <f>'Exhibit G state'!D92+'Exhibit G Federal'!D62</f>
        <v>13.7</v>
      </c>
      <c r="E93" s="1188"/>
      <c r="F93" s="1206"/>
      <c r="G93" s="1188"/>
      <c r="H93" s="1206"/>
      <c r="I93"/>
      <c r="J93" s="1206"/>
      <c r="K93" s="2833"/>
      <c r="L93" s="1206"/>
      <c r="M93" s="2833"/>
      <c r="N93" s="1206"/>
      <c r="O93" s="2833"/>
      <c r="P93" s="1206"/>
      <c r="Q93" s="2833"/>
      <c r="R93" s="1206"/>
      <c r="S93" s="2833"/>
      <c r="T93" s="1206"/>
      <c r="U93" s="2833"/>
      <c r="V93" s="1206"/>
      <c r="W93" s="2833"/>
      <c r="X93" s="1206"/>
      <c r="Y93" s="2833"/>
      <c r="Z93" s="1206"/>
      <c r="AA93" s="1206"/>
      <c r="AB93" s="307">
        <v>0</v>
      </c>
      <c r="AC93" s="1145"/>
      <c r="AD93" s="307">
        <f>ROUND(SUM(D93:Z93),1)</f>
        <v>13.7</v>
      </c>
      <c r="AE93" s="307"/>
      <c r="AF93" s="1145"/>
      <c r="AG93" s="1206">
        <f>'Exhibit G state'!AG92+'Exhibit G Federal'!AG62</f>
        <v>16.3</v>
      </c>
      <c r="AH93" s="1795"/>
      <c r="AI93" s="255"/>
      <c r="AJ93" s="1544">
        <f>ROUND(SUM(+AD93-AG93),1)</f>
        <v>-2.6</v>
      </c>
      <c r="AK93" s="2961"/>
      <c r="AL93" s="2844">
        <f>ROUND(IF(AG93=0,0,AJ93/ABS(AG93)),3)</f>
        <v>-0.16</v>
      </c>
      <c r="AR93" s="456"/>
      <c r="AS93" s="456"/>
    </row>
    <row r="94" spans="1:45" s="295" customFormat="1" ht="15" customHeight="1">
      <c r="A94" s="296"/>
      <c r="B94" s="2956" t="s">
        <v>28</v>
      </c>
      <c r="C94" s="296"/>
      <c r="D94" s="255"/>
      <c r="E94"/>
      <c r="F94" s="255"/>
      <c r="G94"/>
      <c r="H94" s="255"/>
      <c r="I94"/>
      <c r="J94" s="255"/>
      <c r="K94" s="2833"/>
      <c r="L94" s="255"/>
      <c r="M94" s="2833"/>
      <c r="N94" s="255"/>
      <c r="O94" s="2833"/>
      <c r="P94" s="255"/>
      <c r="Q94" s="2833"/>
      <c r="R94" s="255"/>
      <c r="S94" s="2833"/>
      <c r="T94" s="255"/>
      <c r="U94" s="2833"/>
      <c r="V94" s="255"/>
      <c r="W94" s="2833"/>
      <c r="X94" s="255"/>
      <c r="Y94" s="2833"/>
      <c r="Z94" s="255"/>
      <c r="AA94" s="255"/>
      <c r="AB94" s="307">
        <v>0</v>
      </c>
      <c r="AC94" s="1145"/>
      <c r="AD94" s="307"/>
      <c r="AE94" s="307"/>
      <c r="AF94" s="1145"/>
      <c r="AG94" s="255"/>
      <c r="AH94" s="1795"/>
      <c r="AI94" s="255"/>
      <c r="AJ94" s="1544" t="s">
        <v>15</v>
      </c>
      <c r="AK94" s="1067" t="s">
        <v>15</v>
      </c>
      <c r="AL94" s="2962" t="s">
        <v>15</v>
      </c>
      <c r="AR94" s="329"/>
      <c r="AS94" s="329"/>
    </row>
    <row r="95" spans="1:45" s="295" customFormat="1" ht="15" customHeight="1">
      <c r="A95" s="296"/>
      <c r="B95" s="2957" t="s">
        <v>29</v>
      </c>
      <c r="C95" s="296"/>
      <c r="D95" s="1206">
        <f>'Exhibit G state'!D94+'Exhibit G Federal'!D64</f>
        <v>2858.1000000000004</v>
      </c>
      <c r="E95" s="1188"/>
      <c r="F95" s="1206"/>
      <c r="G95" s="1188"/>
      <c r="H95" s="1206"/>
      <c r="I95"/>
      <c r="J95" s="1206"/>
      <c r="K95" s="2833"/>
      <c r="L95" s="1206"/>
      <c r="M95" s="2833"/>
      <c r="N95" s="1206"/>
      <c r="O95" s="2833"/>
      <c r="P95" s="1206"/>
      <c r="Q95" s="2833"/>
      <c r="R95" s="1206"/>
      <c r="S95" s="2833"/>
      <c r="T95" s="1206"/>
      <c r="U95" s="2833"/>
      <c r="V95" s="1206"/>
      <c r="W95" s="2833"/>
      <c r="X95" s="1206"/>
      <c r="Y95" s="2833"/>
      <c r="Z95" s="1206"/>
      <c r="AA95" s="1206"/>
      <c r="AB95" s="307">
        <v>0</v>
      </c>
      <c r="AC95" s="1145"/>
      <c r="AD95" s="307">
        <f t="shared" ref="AD95:AD100" si="33">ROUND(SUM(D95:Z95),1)</f>
        <v>2858.1</v>
      </c>
      <c r="AE95" s="307"/>
      <c r="AF95" s="1145"/>
      <c r="AG95" s="1206">
        <f>'Exhibit G state'!AG94+'Exhibit G Federal'!AG64</f>
        <v>3090</v>
      </c>
      <c r="AH95" s="1795"/>
      <c r="AI95" s="255"/>
      <c r="AJ95" s="1544">
        <f t="shared" ref="AJ95:AJ100" si="34">ROUND(SUM(+AD95-AG95),1)</f>
        <v>-231.9</v>
      </c>
      <c r="AK95" s="2961"/>
      <c r="AL95" s="2844">
        <f t="shared" ref="AL95:AL100" si="35">ROUND(IF(AG95=0,0,AJ95/ABS(AG95)),3)</f>
        <v>-7.4999999999999997E-2</v>
      </c>
      <c r="AR95" s="329"/>
      <c r="AS95" s="329"/>
    </row>
    <row r="96" spans="1:45" s="295" customFormat="1" ht="15" customHeight="1">
      <c r="A96" s="296"/>
      <c r="B96" s="2956" t="s">
        <v>30</v>
      </c>
      <c r="C96" s="296"/>
      <c r="D96" s="1206">
        <f>'Exhibit G state'!D95+'Exhibit G Federal'!D65</f>
        <v>542.69999999999993</v>
      </c>
      <c r="E96" s="1188"/>
      <c r="F96" s="1206"/>
      <c r="G96" s="1188"/>
      <c r="H96" s="1206"/>
      <c r="I96"/>
      <c r="J96" s="1206"/>
      <c r="K96" s="2833"/>
      <c r="L96" s="1206"/>
      <c r="M96" s="2833"/>
      <c r="N96" s="1206"/>
      <c r="O96" s="2833"/>
      <c r="P96" s="1206"/>
      <c r="Q96" s="2833"/>
      <c r="R96" s="1206"/>
      <c r="S96" s="2833"/>
      <c r="T96" s="1206"/>
      <c r="U96" s="2833"/>
      <c r="V96" s="1206"/>
      <c r="W96" s="2833"/>
      <c r="X96" s="1206"/>
      <c r="Y96" s="2833"/>
      <c r="Z96" s="1206"/>
      <c r="AA96" s="1206"/>
      <c r="AB96" s="307">
        <v>0</v>
      </c>
      <c r="AC96" s="1145"/>
      <c r="AD96" s="307">
        <f t="shared" si="33"/>
        <v>542.70000000000005</v>
      </c>
      <c r="AE96" s="307"/>
      <c r="AF96" s="1145"/>
      <c r="AG96" s="1206">
        <f>'Exhibit G state'!AG95+'Exhibit G Federal'!AG65</f>
        <v>458.3</v>
      </c>
      <c r="AH96" s="1795"/>
      <c r="AI96" s="255"/>
      <c r="AJ96" s="1544">
        <f t="shared" si="34"/>
        <v>84.4</v>
      </c>
      <c r="AK96" s="2961"/>
      <c r="AL96" s="2844">
        <f t="shared" si="35"/>
        <v>0.184</v>
      </c>
      <c r="AR96" s="329"/>
      <c r="AS96" s="329"/>
    </row>
    <row r="97" spans="1:46" s="295" customFormat="1" ht="15" customHeight="1">
      <c r="A97" s="296"/>
      <c r="B97" s="2956" t="s">
        <v>31</v>
      </c>
      <c r="C97" s="296"/>
      <c r="D97" s="1206">
        <f>'Exhibit G state'!D96+'Exhibit G Federal'!D66</f>
        <v>76.399999999999991</v>
      </c>
      <c r="E97" s="1188"/>
      <c r="F97" s="1206"/>
      <c r="G97" s="1188"/>
      <c r="H97" s="1206"/>
      <c r="I97"/>
      <c r="J97" s="1206"/>
      <c r="K97" s="2833"/>
      <c r="L97" s="1206"/>
      <c r="M97" s="2833"/>
      <c r="N97" s="1206"/>
      <c r="O97" s="2833"/>
      <c r="P97" s="1206"/>
      <c r="Q97" s="2833"/>
      <c r="R97" s="1206"/>
      <c r="S97" s="2833"/>
      <c r="T97" s="1206"/>
      <c r="U97" s="2833"/>
      <c r="V97" s="1206"/>
      <c r="W97" s="2833"/>
      <c r="X97" s="1206"/>
      <c r="Y97" s="2833"/>
      <c r="Z97" s="1206"/>
      <c r="AA97" s="1206"/>
      <c r="AB97" s="307">
        <v>0</v>
      </c>
      <c r="AC97" s="1145"/>
      <c r="AD97" s="307">
        <f t="shared" si="33"/>
        <v>76.400000000000006</v>
      </c>
      <c r="AE97" s="307"/>
      <c r="AF97" s="1145"/>
      <c r="AG97" s="1206">
        <f>'Exhibit G state'!AG96+'Exhibit G Federal'!AG66</f>
        <v>133.30000000000001</v>
      </c>
      <c r="AH97" s="1795"/>
      <c r="AI97" s="255"/>
      <c r="AJ97" s="1544">
        <f t="shared" si="34"/>
        <v>-56.9</v>
      </c>
      <c r="AK97" s="2961"/>
      <c r="AL97" s="2844">
        <f t="shared" si="35"/>
        <v>-0.42699999999999999</v>
      </c>
      <c r="AR97" s="329"/>
      <c r="AS97" s="329"/>
    </row>
    <row r="98" spans="1:46" s="295" customFormat="1" ht="15" customHeight="1">
      <c r="A98" s="296"/>
      <c r="B98" s="2956" t="s">
        <v>32</v>
      </c>
      <c r="C98" s="296"/>
      <c r="D98" s="1206">
        <f>'Exhibit G state'!D97+'Exhibit G Federal'!D67</f>
        <v>266.7</v>
      </c>
      <c r="E98" s="1188"/>
      <c r="F98" s="1206"/>
      <c r="G98" s="1188"/>
      <c r="H98" s="1206"/>
      <c r="I98"/>
      <c r="J98" s="1206"/>
      <c r="K98" s="2833"/>
      <c r="L98" s="1206"/>
      <c r="M98" s="2833"/>
      <c r="N98" s="1206"/>
      <c r="O98" s="2833"/>
      <c r="P98" s="1206"/>
      <c r="Q98" s="2833"/>
      <c r="R98" s="1206"/>
      <c r="S98" s="2833"/>
      <c r="T98" s="1206"/>
      <c r="U98" s="2833"/>
      <c r="V98" s="1206"/>
      <c r="W98" s="2833"/>
      <c r="X98" s="1206"/>
      <c r="Y98" s="2833"/>
      <c r="Z98" s="1206"/>
      <c r="AA98" s="1206"/>
      <c r="AB98" s="307">
        <v>0</v>
      </c>
      <c r="AC98" s="1145"/>
      <c r="AD98" s="307">
        <f t="shared" si="33"/>
        <v>266.7</v>
      </c>
      <c r="AE98" s="307"/>
      <c r="AF98" s="1145"/>
      <c r="AG98" s="1206">
        <f>'Exhibit G state'!AG97+'Exhibit G Federal'!AG67</f>
        <v>266.90000000000003</v>
      </c>
      <c r="AH98" s="1795"/>
      <c r="AI98" s="255"/>
      <c r="AJ98" s="1544">
        <f t="shared" si="34"/>
        <v>-0.2</v>
      </c>
      <c r="AK98" s="2961"/>
      <c r="AL98" s="2844">
        <f t="shared" si="35"/>
        <v>-1E-3</v>
      </c>
      <c r="AR98" s="329"/>
      <c r="AS98" s="329"/>
    </row>
    <row r="99" spans="1:46" s="295" customFormat="1" ht="15" customHeight="1">
      <c r="A99" s="296"/>
      <c r="B99" s="2956" t="s">
        <v>33</v>
      </c>
      <c r="C99" s="296"/>
      <c r="D99" s="1206">
        <f>'Exhibit G state'!D98+'Exhibit G Federal'!D68</f>
        <v>0.1</v>
      </c>
      <c r="E99" s="1188"/>
      <c r="F99" s="1206"/>
      <c r="G99" s="1188"/>
      <c r="H99" s="1206"/>
      <c r="I99"/>
      <c r="J99" s="1206"/>
      <c r="K99" s="2833"/>
      <c r="L99" s="1206"/>
      <c r="M99" s="2833"/>
      <c r="N99" s="1206"/>
      <c r="O99" s="2833"/>
      <c r="P99" s="1206"/>
      <c r="Q99" s="2833"/>
      <c r="R99" s="1206"/>
      <c r="S99" s="2833"/>
      <c r="T99" s="1206"/>
      <c r="U99" s="2833"/>
      <c r="V99" s="1206"/>
      <c r="W99" s="2833"/>
      <c r="X99" s="1206"/>
      <c r="Y99" s="2833"/>
      <c r="Z99" s="1206"/>
      <c r="AA99" s="1206"/>
      <c r="AB99" s="307">
        <v>0</v>
      </c>
      <c r="AC99" s="1145"/>
      <c r="AD99" s="307">
        <f t="shared" si="33"/>
        <v>0.1</v>
      </c>
      <c r="AE99" s="307"/>
      <c r="AF99" s="1145"/>
      <c r="AG99" s="1206">
        <f>'Exhibit G state'!AG98+'Exhibit G Federal'!AG68</f>
        <v>1.8</v>
      </c>
      <c r="AH99" s="1795"/>
      <c r="AI99" s="255"/>
      <c r="AJ99" s="1544">
        <f t="shared" si="34"/>
        <v>-1.7</v>
      </c>
      <c r="AK99" s="2961"/>
      <c r="AL99" s="2849">
        <f>ROUND(IF(AG99=0,0,AJ99/ABS(AG99)),3)</f>
        <v>-0.94399999999999995</v>
      </c>
      <c r="AR99" s="456"/>
      <c r="AS99" s="456"/>
    </row>
    <row r="100" spans="1:46" s="295" customFormat="1" ht="15" customHeight="1">
      <c r="A100" s="296"/>
      <c r="B100" s="2956" t="s">
        <v>34</v>
      </c>
      <c r="C100" s="296"/>
      <c r="D100" s="1206">
        <f>'Exhibit G state'!D99+'Exhibit G Federal'!D69</f>
        <v>192.6</v>
      </c>
      <c r="E100" s="1188"/>
      <c r="F100" s="1206"/>
      <c r="G100" s="1188"/>
      <c r="H100" s="1206"/>
      <c r="I100"/>
      <c r="J100" s="1206"/>
      <c r="K100" s="2833"/>
      <c r="L100" s="1206"/>
      <c r="M100" s="2833"/>
      <c r="N100" s="1206"/>
      <c r="O100" s="2833"/>
      <c r="P100" s="1206"/>
      <c r="Q100" s="2833"/>
      <c r="R100" s="1206"/>
      <c r="S100" s="2833"/>
      <c r="T100" s="1206"/>
      <c r="U100" s="2833"/>
      <c r="V100" s="1206"/>
      <c r="W100" s="2833"/>
      <c r="X100" s="1206"/>
      <c r="Y100" s="2833"/>
      <c r="Z100" s="1206"/>
      <c r="AA100" s="1206"/>
      <c r="AB100" s="307">
        <v>0</v>
      </c>
      <c r="AC100" s="1145"/>
      <c r="AD100" s="255">
        <f t="shared" si="33"/>
        <v>192.6</v>
      </c>
      <c r="AE100" s="307"/>
      <c r="AF100" s="1145"/>
      <c r="AG100" s="1206">
        <f>'Exhibit G state'!AG99+'Exhibit G Federal'!AG69</f>
        <v>251.6</v>
      </c>
      <c r="AH100" s="1795"/>
      <c r="AI100" s="255"/>
      <c r="AJ100" s="1740">
        <f t="shared" si="34"/>
        <v>-59</v>
      </c>
      <c r="AK100" s="2961"/>
      <c r="AL100" s="2955">
        <f t="shared" si="35"/>
        <v>-0.23400000000000001</v>
      </c>
      <c r="AM100" s="2963"/>
      <c r="AR100" s="306"/>
      <c r="AS100" s="306"/>
      <c r="AT100" s="1827"/>
    </row>
    <row r="101" spans="1:46" ht="15" customHeight="1">
      <c r="A101" s="218"/>
      <c r="B101" s="216" t="s">
        <v>1300</v>
      </c>
      <c r="C101" s="218"/>
      <c r="D101" s="249">
        <f>ROUND(SUM(D91:D100),1)</f>
        <v>4328.5</v>
      </c>
      <c r="F101" s="3045">
        <f>ROUND(SUM(F91:F100),1)</f>
        <v>0</v>
      </c>
      <c r="H101" s="3045">
        <f>ROUND(SUM(H91:H100),1)</f>
        <v>0</v>
      </c>
      <c r="J101" s="3045">
        <f>ROUND(SUM(J91:J100),1)</f>
        <v>0</v>
      </c>
      <c r="L101" s="249">
        <f t="shared" ref="L101:V101" si="36">ROUND(SUM(L91:L100),1)</f>
        <v>0</v>
      </c>
      <c r="N101" s="249">
        <f t="shared" ref="N101:P101" si="37">ROUND(SUM(N91:N100),1)</f>
        <v>0</v>
      </c>
      <c r="P101" s="249">
        <f t="shared" si="37"/>
        <v>0</v>
      </c>
      <c r="R101" s="249">
        <f t="shared" ref="R101" si="38">ROUND(SUM(R91:R100),1)</f>
        <v>0</v>
      </c>
      <c r="T101" s="249">
        <f t="shared" si="36"/>
        <v>0</v>
      </c>
      <c r="V101" s="249">
        <f t="shared" si="36"/>
        <v>0</v>
      </c>
      <c r="X101" s="249">
        <f t="shared" ref="X101:Z101" si="39">ROUND(SUM(X91:X100),1)</f>
        <v>0</v>
      </c>
      <c r="Z101" s="249">
        <f t="shared" si="39"/>
        <v>0</v>
      </c>
      <c r="AA101" s="2503"/>
      <c r="AB101" s="249">
        <f>ROUND(SUM(AB91:AB100),1)</f>
        <v>0</v>
      </c>
      <c r="AC101" s="252"/>
      <c r="AD101" s="502">
        <f>ROUND(SUM(AD91:AD100),1)</f>
        <v>4328.5</v>
      </c>
      <c r="AE101" s="250"/>
      <c r="AF101" s="252"/>
      <c r="AG101" s="502">
        <f>ROUND(SUM(AG91:AG100),1)</f>
        <v>4482.1000000000004</v>
      </c>
      <c r="AH101" s="498"/>
      <c r="AI101" s="264"/>
      <c r="AJ101" s="249">
        <f>ROUND(SUM(AJ91:AJ100),1)</f>
        <v>-153.6</v>
      </c>
      <c r="AK101" s="356"/>
      <c r="AL101" s="1632">
        <f>ROUND(SUM(+AJ101/AG101),3)</f>
        <v>-3.4000000000000002E-2</v>
      </c>
      <c r="AR101" s="224"/>
      <c r="AS101" s="306"/>
      <c r="AT101" s="224"/>
    </row>
    <row r="102" spans="1:46" s="295" customFormat="1" ht="15" customHeight="1">
      <c r="A102" s="296"/>
      <c r="B102" s="296" t="s">
        <v>172</v>
      </c>
      <c r="C102" s="296"/>
      <c r="D102" s="307"/>
      <c r="E102"/>
      <c r="F102" s="2502"/>
      <c r="G102"/>
      <c r="H102" s="2502"/>
      <c r="I102"/>
      <c r="J102" s="2502"/>
      <c r="K102" s="2833"/>
      <c r="L102" s="307"/>
      <c r="M102" s="2833"/>
      <c r="N102" s="307"/>
      <c r="O102" s="2833"/>
      <c r="P102" s="307"/>
      <c r="Q102" s="2833"/>
      <c r="R102" s="307"/>
      <c r="S102" s="2833"/>
      <c r="T102" s="307"/>
      <c r="U102" s="2833"/>
      <c r="V102" s="307"/>
      <c r="W102" s="2833"/>
      <c r="X102" s="307"/>
      <c r="Y102" s="2833"/>
      <c r="Z102" s="307"/>
      <c r="AA102" s="307"/>
      <c r="AB102" s="307"/>
      <c r="AC102" s="1145"/>
      <c r="AD102" s="307"/>
      <c r="AE102" s="307"/>
      <c r="AF102" s="1145"/>
      <c r="AG102" s="307"/>
      <c r="AH102" s="1795"/>
      <c r="AI102" s="255"/>
      <c r="AJ102" s="1544"/>
      <c r="AL102" s="2964"/>
      <c r="AS102" s="329"/>
    </row>
    <row r="103" spans="1:46" s="295" customFormat="1" ht="15" customHeight="1">
      <c r="A103" s="296"/>
      <c r="B103" s="296" t="s">
        <v>155</v>
      </c>
      <c r="C103" s="296"/>
      <c r="D103" s="1206">
        <f>'Exhibit G state'!D102+'Exhibit G Federal'!D72</f>
        <v>434.59999999999997</v>
      </c>
      <c r="E103" s="1188"/>
      <c r="F103" s="1206"/>
      <c r="G103" s="1188"/>
      <c r="H103" s="1206"/>
      <c r="I103"/>
      <c r="J103" s="1206"/>
      <c r="K103" s="2833"/>
      <c r="L103" s="1206"/>
      <c r="M103" s="2833"/>
      <c r="N103" s="1206"/>
      <c r="O103" s="2833"/>
      <c r="P103" s="1206"/>
      <c r="Q103" s="2833"/>
      <c r="R103" s="1206"/>
      <c r="S103" s="2833"/>
      <c r="T103" s="1206"/>
      <c r="U103" s="2833"/>
      <c r="V103" s="1206"/>
      <c r="W103" s="2833"/>
      <c r="X103" s="1206"/>
      <c r="Y103" s="2833"/>
      <c r="Z103" s="1206"/>
      <c r="AA103" s="1206"/>
      <c r="AB103" s="307">
        <v>0</v>
      </c>
      <c r="AC103" s="1145"/>
      <c r="AD103" s="307">
        <f>ROUND(SUM(D103:Z103),1)</f>
        <v>434.6</v>
      </c>
      <c r="AE103" s="307"/>
      <c r="AF103" s="1145"/>
      <c r="AG103" s="1206">
        <f>'Exhibit G state'!AG102+'Exhibit G Federal'!AG72</f>
        <v>615.20000000000005</v>
      </c>
      <c r="AH103" s="1795"/>
      <c r="AI103" s="255"/>
      <c r="AJ103" s="1544">
        <f>ROUND(SUM(+AD103-AG103),1)</f>
        <v>-180.6</v>
      </c>
      <c r="AK103" s="494"/>
      <c r="AL103" s="2844">
        <f>ROUND(IF(AG103=0,0,AJ103/ABS(AG103)),3)</f>
        <v>-0.29399999999999998</v>
      </c>
    </row>
    <row r="104" spans="1:46" s="295" customFormat="1" ht="15" customHeight="1">
      <c r="A104" s="296"/>
      <c r="B104" s="296" t="s">
        <v>173</v>
      </c>
      <c r="C104" s="296"/>
      <c r="D104" s="1206">
        <f>'Exhibit G state'!D103+'Exhibit G Federal'!D73</f>
        <v>252.39999999999998</v>
      </c>
      <c r="E104" s="1188"/>
      <c r="F104" s="1206"/>
      <c r="G104" s="1188"/>
      <c r="H104" s="1206"/>
      <c r="I104"/>
      <c r="J104" s="1206"/>
      <c r="K104" s="2833"/>
      <c r="L104" s="1206"/>
      <c r="M104" s="2833"/>
      <c r="N104" s="1206"/>
      <c r="O104" s="2833"/>
      <c r="P104" s="1206"/>
      <c r="Q104" s="2833"/>
      <c r="R104" s="1206"/>
      <c r="S104" s="2833"/>
      <c r="T104" s="1206"/>
      <c r="U104" s="2833"/>
      <c r="V104" s="1206"/>
      <c r="W104" s="2833"/>
      <c r="X104" s="1206"/>
      <c r="Y104" s="2833"/>
      <c r="Z104" s="1206"/>
      <c r="AA104" s="1206"/>
      <c r="AB104" s="307">
        <v>0</v>
      </c>
      <c r="AC104" s="1145"/>
      <c r="AD104" s="307">
        <f>ROUND(SUM(D104:Z104),1)</f>
        <v>252.4</v>
      </c>
      <c r="AE104" s="307"/>
      <c r="AF104" s="1145"/>
      <c r="AG104" s="1206">
        <f>'Exhibit G state'!AG103+'Exhibit G Federal'!AG73</f>
        <v>277.2</v>
      </c>
      <c r="AH104" s="1795"/>
      <c r="AI104" s="255"/>
      <c r="AJ104" s="1544">
        <f>ROUND(SUM(+AD104-AG104),1)</f>
        <v>-24.8</v>
      </c>
      <c r="AK104" s="494"/>
      <c r="AL104" s="2844">
        <f>ROUND(IF(AG104=0,0,AJ104/ABS(AG104)),3)</f>
        <v>-8.8999999999999996E-2</v>
      </c>
    </row>
    <row r="105" spans="1:46" s="295" customFormat="1" ht="15" customHeight="1">
      <c r="A105" s="296"/>
      <c r="B105" s="296" t="s">
        <v>174</v>
      </c>
      <c r="C105" s="296"/>
      <c r="D105" s="1206">
        <f>'Exhibit G state'!D104+'Exhibit G Federal'!D74</f>
        <v>158.9</v>
      </c>
      <c r="E105" s="1188"/>
      <c r="F105" s="1206"/>
      <c r="G105" s="1188"/>
      <c r="H105" s="1206"/>
      <c r="I105"/>
      <c r="J105" s="1206"/>
      <c r="K105" s="2833"/>
      <c r="L105" s="1206"/>
      <c r="M105" s="2833"/>
      <c r="N105" s="1206"/>
      <c r="O105" s="2833"/>
      <c r="P105" s="1206"/>
      <c r="Q105" s="2833"/>
      <c r="R105" s="1206"/>
      <c r="S105" s="2833"/>
      <c r="T105" s="1206"/>
      <c r="U105" s="2833"/>
      <c r="V105" s="1206"/>
      <c r="W105" s="2833"/>
      <c r="X105" s="1206"/>
      <c r="Y105" s="2833"/>
      <c r="Z105" s="1206"/>
      <c r="AA105" s="1206"/>
      <c r="AB105" s="307">
        <v>0</v>
      </c>
      <c r="AC105" s="1145"/>
      <c r="AD105" s="307">
        <f>ROUND(SUM(D105:Z105),1)</f>
        <v>158.9</v>
      </c>
      <c r="AE105" s="307"/>
      <c r="AF105" s="1145"/>
      <c r="AG105" s="1206">
        <f>'Exhibit G state'!AG104+'Exhibit G Federal'!AG74</f>
        <v>61.2</v>
      </c>
      <c r="AH105" s="1795"/>
      <c r="AI105" s="255"/>
      <c r="AJ105" s="1544">
        <f>ROUND(SUM(+AD105-AG105),1)</f>
        <v>97.7</v>
      </c>
      <c r="AK105" s="494"/>
      <c r="AL105" s="2844">
        <f>ROUND(IF(AG105=0,0,AJ105/ABS(AG105)),3)</f>
        <v>1.5960000000000001</v>
      </c>
    </row>
    <row r="106" spans="1:46" s="295" customFormat="1" ht="15" customHeight="1">
      <c r="A106" s="296"/>
      <c r="B106" s="296" t="s">
        <v>175</v>
      </c>
      <c r="C106" s="296"/>
      <c r="D106" s="1206">
        <f>'Exhibit G state'!D105+'Exhibit G Federal'!D75</f>
        <v>0</v>
      </c>
      <c r="E106" s="1188"/>
      <c r="F106" s="1206"/>
      <c r="G106" s="1188"/>
      <c r="H106" s="1206"/>
      <c r="I106"/>
      <c r="J106" s="1206"/>
      <c r="K106" s="2833"/>
      <c r="L106" s="1206"/>
      <c r="M106" s="2833"/>
      <c r="N106" s="1206"/>
      <c r="O106" s="2833"/>
      <c r="P106" s="1206"/>
      <c r="Q106" s="2833"/>
      <c r="R106" s="1206"/>
      <c r="S106" s="2833"/>
      <c r="T106" s="1206"/>
      <c r="U106" s="2833"/>
      <c r="V106" s="1206"/>
      <c r="W106" s="2833"/>
      <c r="X106" s="1206"/>
      <c r="Y106" s="2833"/>
      <c r="Z106" s="1206"/>
      <c r="AA106" s="1206"/>
      <c r="AB106" s="3103">
        <v>0</v>
      </c>
      <c r="AC106" s="1145"/>
      <c r="AD106" s="307">
        <f>ROUND(SUM(D106:Z106),1)</f>
        <v>0</v>
      </c>
      <c r="AE106" s="307"/>
      <c r="AF106" s="1145"/>
      <c r="AG106" s="1206">
        <f>'Exhibit G state'!AG105+'Exhibit G Federal'!AG75</f>
        <v>0</v>
      </c>
      <c r="AH106" s="1795"/>
      <c r="AI106" s="255"/>
      <c r="AJ106" s="1740">
        <f>ROUND(SUM(+AD106-AG106),1)</f>
        <v>0</v>
      </c>
      <c r="AK106" s="2961"/>
      <c r="AL106" s="2843">
        <f>ROUND(IF(AG106=0,0,AJ106/ABS(AG106)),3)</f>
        <v>0</v>
      </c>
    </row>
    <row r="107" spans="1:46" s="295" customFormat="1" ht="15" customHeight="1">
      <c r="A107" s="296"/>
      <c r="B107" s="296"/>
      <c r="C107" s="296"/>
      <c r="D107" s="315"/>
      <c r="E107"/>
      <c r="F107" s="1210"/>
      <c r="G107"/>
      <c r="H107" s="1210"/>
      <c r="I107"/>
      <c r="J107" s="1210"/>
      <c r="K107" s="2833"/>
      <c r="L107" s="315"/>
      <c r="M107" s="2833"/>
      <c r="N107" s="315"/>
      <c r="O107" s="2833"/>
      <c r="P107" s="315"/>
      <c r="Q107" s="2833"/>
      <c r="R107" s="315"/>
      <c r="S107" s="2833"/>
      <c r="T107" s="315"/>
      <c r="U107" s="2833"/>
      <c r="V107" s="315"/>
      <c r="W107" s="2833"/>
      <c r="X107" s="315"/>
      <c r="Y107" s="2833"/>
      <c r="Z107" s="315"/>
      <c r="AA107" s="255"/>
      <c r="AB107" s="307"/>
      <c r="AC107" s="1145"/>
      <c r="AD107" s="315"/>
      <c r="AE107" s="307"/>
      <c r="AF107" s="1145"/>
      <c r="AG107" s="315"/>
      <c r="AH107" s="1795"/>
      <c r="AI107" s="255"/>
      <c r="AJ107" s="2965"/>
      <c r="AL107" s="2966"/>
    </row>
    <row r="108" spans="1:46" s="295" customFormat="1" ht="15" customHeight="1">
      <c r="A108" s="296"/>
      <c r="B108" s="294" t="s">
        <v>158</v>
      </c>
      <c r="C108" s="296"/>
      <c r="D108" s="301">
        <f>ROUND(SUM(D101:D106),1)</f>
        <v>5174.3999999999996</v>
      </c>
      <c r="E108"/>
      <c r="F108" s="1587">
        <f>ROUND(SUM(F101:F106),1)</f>
        <v>0</v>
      </c>
      <c r="G108"/>
      <c r="H108" s="1587">
        <f>ROUND(SUM(H101:H106),1)</f>
        <v>0</v>
      </c>
      <c r="I108"/>
      <c r="J108" s="1587">
        <f>ROUND(SUM(J101:J106),1)</f>
        <v>0</v>
      </c>
      <c r="K108" s="2833"/>
      <c r="L108" s="301">
        <f t="shared" ref="L108:V108" si="40">ROUND(SUM(L101:L106),1)</f>
        <v>0</v>
      </c>
      <c r="M108" s="2833"/>
      <c r="N108" s="301">
        <f t="shared" ref="N108:P108" si="41">ROUND(SUM(N101:N106),1)</f>
        <v>0</v>
      </c>
      <c r="O108" s="2833"/>
      <c r="P108" s="301">
        <f t="shared" si="41"/>
        <v>0</v>
      </c>
      <c r="Q108" s="2833"/>
      <c r="R108" s="301">
        <f t="shared" ref="R108" si="42">ROUND(SUM(R101:R106),1)</f>
        <v>0</v>
      </c>
      <c r="S108" s="2833"/>
      <c r="T108" s="301">
        <f t="shared" si="40"/>
        <v>0</v>
      </c>
      <c r="U108" s="2833"/>
      <c r="V108" s="301">
        <f t="shared" si="40"/>
        <v>0</v>
      </c>
      <c r="W108" s="2833"/>
      <c r="X108" s="301">
        <f t="shared" ref="X108:Z108" si="43">ROUND(SUM(X101:X106),1)</f>
        <v>0</v>
      </c>
      <c r="Y108" s="2833"/>
      <c r="Z108" s="301">
        <f t="shared" si="43"/>
        <v>0</v>
      </c>
      <c r="AA108" s="301"/>
      <c r="AB108" s="3104">
        <v>0</v>
      </c>
      <c r="AC108" s="1146"/>
      <c r="AD108" s="301">
        <f>ROUND(SUM(AD101:AD106),1)</f>
        <v>5174.3999999999996</v>
      </c>
      <c r="AE108" s="301"/>
      <c r="AF108" s="1146"/>
      <c r="AG108" s="301">
        <f>ROUND(SUM(AG101:AG106),1)</f>
        <v>5435.7</v>
      </c>
      <c r="AH108" s="2967"/>
      <c r="AI108" s="304"/>
      <c r="AJ108" s="302">
        <f>ROUND(SUM(AJ101:AJ106),1)</f>
        <v>-261.3</v>
      </c>
      <c r="AK108" s="1810"/>
      <c r="AL108" s="2968">
        <f>ROUND(SUM(+AJ108/AG108),3)</f>
        <v>-4.8000000000000001E-2</v>
      </c>
    </row>
    <row r="109" spans="1:46" ht="15" customHeight="1">
      <c r="A109" s="218"/>
      <c r="B109" s="218"/>
      <c r="C109" s="218"/>
      <c r="D109" s="277"/>
      <c r="F109" s="1210"/>
      <c r="H109" s="1210"/>
      <c r="J109" s="1210"/>
      <c r="L109" s="277"/>
      <c r="N109" s="277"/>
      <c r="P109" s="277"/>
      <c r="R109" s="277"/>
      <c r="T109" s="277"/>
      <c r="V109" s="277"/>
      <c r="X109" s="277"/>
      <c r="Z109" s="277"/>
      <c r="AA109" s="243"/>
      <c r="AB109" s="254"/>
      <c r="AC109" s="244"/>
      <c r="AD109" s="277"/>
      <c r="AE109" s="254"/>
      <c r="AF109" s="244"/>
      <c r="AG109" s="277"/>
      <c r="AH109" s="491"/>
      <c r="AI109" s="243"/>
      <c r="AJ109" s="1042"/>
      <c r="AL109" s="1629"/>
    </row>
    <row r="110" spans="1:46" ht="15" customHeight="1">
      <c r="A110" s="218"/>
      <c r="B110" s="216" t="s">
        <v>159</v>
      </c>
      <c r="C110" s="218"/>
      <c r="D110" s="254"/>
      <c r="F110" s="2502"/>
      <c r="H110" s="2502"/>
      <c r="J110" s="2502"/>
      <c r="L110" s="254"/>
      <c r="N110" s="254"/>
      <c r="P110" s="254"/>
      <c r="R110" s="254"/>
      <c r="T110" s="254"/>
      <c r="V110" s="254"/>
      <c r="X110" s="254"/>
      <c r="Z110" s="254"/>
      <c r="AA110" s="254"/>
      <c r="AB110" s="254"/>
      <c r="AC110" s="244"/>
      <c r="AD110" s="254" t="s">
        <v>160</v>
      </c>
      <c r="AE110" s="1371"/>
      <c r="AF110" s="1372"/>
      <c r="AG110" s="254"/>
      <c r="AH110" s="504"/>
      <c r="AI110" s="505"/>
      <c r="AJ110" s="1042"/>
      <c r="AL110" s="1629"/>
    </row>
    <row r="111" spans="1:46" ht="15" customHeight="1">
      <c r="A111" s="218"/>
      <c r="B111" s="216" t="s">
        <v>45</v>
      </c>
      <c r="C111" s="218"/>
      <c r="D111" s="1587">
        <f>ROUND(SUM(D87-D108),1)</f>
        <v>278.8</v>
      </c>
      <c r="F111" s="1587">
        <f>ROUND(SUM(F87-F108),1)</f>
        <v>0</v>
      </c>
      <c r="G111" s="1587">
        <f>ROUND(SUM(G87-G108),1)</f>
        <v>0</v>
      </c>
      <c r="H111" s="1587">
        <f>ROUND(SUM(H87-H108),1)</f>
        <v>0</v>
      </c>
      <c r="J111" s="1587">
        <f>ROUND(SUM(J87-J108),1)</f>
        <v>0</v>
      </c>
      <c r="L111" s="1587">
        <f>ROUND(SUM(L87-L108),1)</f>
        <v>0</v>
      </c>
      <c r="N111" s="1587">
        <f>ROUND(SUM(N87-N108),1)</f>
        <v>0</v>
      </c>
      <c r="P111" s="1587">
        <f>ROUND(SUM(P87-P108),1)</f>
        <v>0</v>
      </c>
      <c r="R111" s="1587">
        <f>ROUND(SUM(R87-R108),1)</f>
        <v>0</v>
      </c>
      <c r="T111" s="1587">
        <f>ROUND(SUM(T87-T108),1)</f>
        <v>0</v>
      </c>
      <c r="V111" s="1587">
        <f>ROUND(SUM(V87-V108),1)</f>
        <v>0</v>
      </c>
      <c r="X111" s="1587">
        <f>ROUND(SUM(X87-X108),1)</f>
        <v>0</v>
      </c>
      <c r="Z111" s="301">
        <f>ROUND(SUM(Z87-Z108),1)</f>
        <v>0</v>
      </c>
      <c r="AA111" s="301"/>
      <c r="AB111" s="3104">
        <v>0</v>
      </c>
      <c r="AC111" s="1146"/>
      <c r="AD111" s="301">
        <f>ROUND(SUM(AD87-AD108),1)</f>
        <v>278.8</v>
      </c>
      <c r="AE111" s="301"/>
      <c r="AF111" s="1146"/>
      <c r="AG111" s="301">
        <f>ROUND(SUM(AG87-AG108),1)</f>
        <v>-404.6</v>
      </c>
      <c r="AH111" s="2967"/>
      <c r="AI111" s="304"/>
      <c r="AJ111" s="1856">
        <f>ROUND(SUM(AJ87-AJ108),1)</f>
        <v>683.4</v>
      </c>
      <c r="AK111" s="399"/>
      <c r="AL111" s="1632">
        <f>ROUND(SUM(+AJ111/ABS(AG111)),3)</f>
        <v>1.6890000000000001</v>
      </c>
    </row>
    <row r="112" spans="1:46" ht="15" customHeight="1">
      <c r="A112" s="218"/>
      <c r="B112" s="218"/>
      <c r="C112" s="218"/>
      <c r="D112" s="277"/>
      <c r="F112" s="1210"/>
      <c r="H112" s="1210"/>
      <c r="J112" s="1210"/>
      <c r="L112" s="277"/>
      <c r="N112" s="277"/>
      <c r="P112" s="277"/>
      <c r="R112" s="277"/>
      <c r="T112" s="277"/>
      <c r="V112" s="277"/>
      <c r="X112" s="277"/>
      <c r="Z112" s="315"/>
      <c r="AA112" s="255"/>
      <c r="AB112" s="307"/>
      <c r="AC112" s="1145"/>
      <c r="AD112" s="315"/>
      <c r="AE112" s="307"/>
      <c r="AF112" s="1145"/>
      <c r="AG112" s="315"/>
      <c r="AH112" s="1795"/>
      <c r="AI112" s="255"/>
      <c r="AJ112" s="1544"/>
      <c r="AL112" s="1629"/>
    </row>
    <row r="113" spans="1:49" ht="15" customHeight="1">
      <c r="A113" s="218"/>
      <c r="B113" s="216" t="s">
        <v>46</v>
      </c>
      <c r="C113" s="218"/>
      <c r="D113" s="254"/>
      <c r="F113" s="2502"/>
      <c r="H113" s="2502"/>
      <c r="J113" s="2502"/>
      <c r="L113" s="254"/>
      <c r="N113" s="254"/>
      <c r="P113" s="254"/>
      <c r="R113" s="254"/>
      <c r="T113" s="254"/>
      <c r="V113" s="254"/>
      <c r="X113" s="254"/>
      <c r="Z113" s="307"/>
      <c r="AA113" s="307"/>
      <c r="AB113" s="307"/>
      <c r="AC113" s="1145"/>
      <c r="AD113" s="307"/>
      <c r="AE113" s="307"/>
      <c r="AF113" s="1145"/>
      <c r="AG113" s="307"/>
      <c r="AH113" s="1795"/>
      <c r="AI113" s="255"/>
      <c r="AJ113" s="1544"/>
      <c r="AL113" s="1629"/>
    </row>
    <row r="114" spans="1:49" s="295" customFormat="1" ht="15" customHeight="1">
      <c r="A114" s="296"/>
      <c r="B114" s="296" t="s">
        <v>176</v>
      </c>
      <c r="C114" s="296"/>
      <c r="D114" s="564">
        <f>+'Exhibit G state'!D113+'Exhibit G Federal'!D83</f>
        <v>381.9</v>
      </c>
      <c r="E114" s="1206"/>
      <c r="F114" s="564"/>
      <c r="G114" s="1206"/>
      <c r="H114" s="564"/>
      <c r="I114" s="2833"/>
      <c r="J114" s="564"/>
      <c r="K114" s="2833"/>
      <c r="L114" s="564"/>
      <c r="M114" s="2833"/>
      <c r="N114" s="564"/>
      <c r="O114" s="2833"/>
      <c r="P114" s="564"/>
      <c r="Q114" s="2833"/>
      <c r="R114" s="564"/>
      <c r="S114" s="2833"/>
      <c r="T114" s="564"/>
      <c r="U114" s="2833"/>
      <c r="V114" s="564"/>
      <c r="W114" s="2833"/>
      <c r="X114" s="564"/>
      <c r="Y114" s="2833"/>
      <c r="Z114" s="564"/>
      <c r="AA114" s="1139"/>
      <c r="AB114" s="2914">
        <v>-58.799999999999955</v>
      </c>
      <c r="AC114" s="1145"/>
      <c r="AD114" s="307">
        <f>ROUND(SUM(D114:AB114),1)</f>
        <v>323.10000000000002</v>
      </c>
      <c r="AE114" s="307"/>
      <c r="AF114" s="1145"/>
      <c r="AG114" s="1206">
        <f>'Exhibit G state'!AG113+'Exhibit G Federal'!AG83-36</f>
        <v>990</v>
      </c>
      <c r="AH114" s="1795"/>
      <c r="AI114" s="255"/>
      <c r="AJ114" s="1740">
        <f>ROUND(SUM(+AD114-AG114),1)</f>
        <v>-666.9</v>
      </c>
      <c r="AK114" s="2961"/>
      <c r="AL114" s="2844">
        <f>ROUND(IF(AG114=0,0,AJ114/ABS(AG114)),3)</f>
        <v>-0.67400000000000004</v>
      </c>
    </row>
    <row r="115" spans="1:49" s="295" customFormat="1" ht="15" customHeight="1">
      <c r="A115" s="296"/>
      <c r="B115" s="296" t="s">
        <v>177</v>
      </c>
      <c r="C115" s="296"/>
      <c r="D115" s="564">
        <f>+'Exhibit G state'!D114+'Exhibit G Federal'!D84</f>
        <v>7.7000000000000028</v>
      </c>
      <c r="E115" s="1206"/>
      <c r="F115" s="564"/>
      <c r="G115" s="1206"/>
      <c r="H115" s="564"/>
      <c r="I115" s="2833"/>
      <c r="J115" s="564"/>
      <c r="K115" s="2833"/>
      <c r="L115" s="564"/>
      <c r="M115" s="2833"/>
      <c r="N115" s="564"/>
      <c r="O115" s="2833"/>
      <c r="P115" s="564"/>
      <c r="Q115" s="2833"/>
      <c r="R115" s="564"/>
      <c r="S115" s="2833"/>
      <c r="T115" s="564"/>
      <c r="U115" s="2833"/>
      <c r="V115" s="564"/>
      <c r="W115" s="2833"/>
      <c r="X115" s="564"/>
      <c r="Y115" s="2833"/>
      <c r="Z115" s="564"/>
      <c r="AA115" s="1139"/>
      <c r="AB115" s="3577">
        <v>58.79999999999999</v>
      </c>
      <c r="AC115" s="1145"/>
      <c r="AD115" s="307">
        <f>ROUND(SUM(D115:AB115),1)</f>
        <v>66.5</v>
      </c>
      <c r="AE115" s="307"/>
      <c r="AF115" s="1145"/>
      <c r="AG115" s="1206">
        <f>'Exhibit G state'!AG114+'Exhibit G Federal'!AG84+36</f>
        <v>-125.69999999999999</v>
      </c>
      <c r="AH115" s="1795"/>
      <c r="AI115" s="255"/>
      <c r="AJ115" s="1740">
        <f>ROUND(SUM(+AD115-AG115)*-1,1)</f>
        <v>-192.2</v>
      </c>
      <c r="AK115" s="2961"/>
      <c r="AL115" s="2843">
        <f>ROUND(IF(AG115=0,0,AJ115/ABS(AG115)),3)</f>
        <v>-1.5289999999999999</v>
      </c>
    </row>
    <row r="116" spans="1:49" ht="15" customHeight="1">
      <c r="A116" s="218"/>
      <c r="B116" s="218"/>
      <c r="C116" s="218"/>
      <c r="D116" s="277"/>
      <c r="F116" s="277"/>
      <c r="H116" s="277"/>
      <c r="J116" s="277"/>
      <c r="L116" s="277"/>
      <c r="N116" s="277"/>
      <c r="P116" s="277"/>
      <c r="R116" s="277"/>
      <c r="T116" s="277"/>
      <c r="V116" s="277"/>
      <c r="X116" s="277"/>
      <c r="Z116" s="315"/>
      <c r="AA116" s="255"/>
      <c r="AB116" s="307"/>
      <c r="AC116" s="1145"/>
      <c r="AD116" s="315"/>
      <c r="AE116" s="307"/>
      <c r="AF116" s="1145"/>
      <c r="AG116" s="315"/>
      <c r="AH116" s="1795"/>
      <c r="AI116" s="255"/>
      <c r="AJ116" s="2965"/>
      <c r="AL116" s="2279"/>
    </row>
    <row r="117" spans="1:49" ht="15" customHeight="1">
      <c r="A117" s="218"/>
      <c r="B117" s="216" t="s">
        <v>1301</v>
      </c>
      <c r="C117" s="218"/>
      <c r="D117" s="1587">
        <f>ROUND(SUM(D114:D115),1)</f>
        <v>389.6</v>
      </c>
      <c r="F117" s="250">
        <f>ROUND(SUM(F114:F115),1)</f>
        <v>0</v>
      </c>
      <c r="H117" s="250">
        <f>ROUND(SUM(H114:H115),1)</f>
        <v>0</v>
      </c>
      <c r="J117" s="1587">
        <f>ROUND(SUM(J114:J115),1)</f>
        <v>0</v>
      </c>
      <c r="L117" s="1587">
        <f>ROUND(SUM(L114:L115),1)</f>
        <v>0</v>
      </c>
      <c r="N117" s="250">
        <f>ROUND(SUM(N114:N115),1)</f>
        <v>0</v>
      </c>
      <c r="P117" s="1587">
        <f>ROUND(SUM(P114:P115),1)</f>
        <v>0</v>
      </c>
      <c r="R117" s="1587">
        <f>ROUND(SUM(R114:R115),1)</f>
        <v>0</v>
      </c>
      <c r="T117" s="250">
        <f>ROUND(SUM(T114:T115),1)</f>
        <v>0</v>
      </c>
      <c r="V117" s="250">
        <f>ROUND(SUM(V114:V115),1)</f>
        <v>0</v>
      </c>
      <c r="X117" s="1587">
        <f>ROUND(SUM(X114:X115),1)</f>
        <v>0</v>
      </c>
      <c r="Z117" s="250">
        <f>ROUND(SUM(Z114:Z115),1)</f>
        <v>0</v>
      </c>
      <c r="AA117" s="1587"/>
      <c r="AB117" s="3105">
        <f>ROUND(SUM(AB114:AB115),1)</f>
        <v>0</v>
      </c>
      <c r="AC117" s="252"/>
      <c r="AD117" s="250">
        <f>ROUND(SUM(AD114:AD115),1)</f>
        <v>389.6</v>
      </c>
      <c r="AE117" s="250"/>
      <c r="AF117" s="252"/>
      <c r="AG117" s="250">
        <f>ROUND(SUM(AG114:AG115),1)</f>
        <v>864.3</v>
      </c>
      <c r="AH117" s="498"/>
      <c r="AI117" s="264"/>
      <c r="AJ117" s="262">
        <f>ROUND(SUM(AD117-AG117),1)</f>
        <v>-474.7</v>
      </c>
      <c r="AK117" s="356"/>
      <c r="AL117" s="1632">
        <f>ROUND(SUM(+AJ117/AG117),3)</f>
        <v>-0.54900000000000004</v>
      </c>
    </row>
    <row r="118" spans="1:49" ht="15" customHeight="1">
      <c r="A118" s="218"/>
      <c r="B118" s="218"/>
      <c r="C118" s="218"/>
      <c r="D118" s="277"/>
      <c r="F118" s="277"/>
      <c r="H118" s="277"/>
      <c r="J118" s="277"/>
      <c r="L118" s="277"/>
      <c r="N118" s="277"/>
      <c r="P118" s="277"/>
      <c r="R118" s="277"/>
      <c r="T118" s="277"/>
      <c r="V118" s="277"/>
      <c r="X118" s="277"/>
      <c r="Z118" s="277"/>
      <c r="AA118" s="243"/>
      <c r="AB118" s="254"/>
      <c r="AC118" s="244"/>
      <c r="AD118" s="277"/>
      <c r="AE118" s="254"/>
      <c r="AF118" s="244"/>
      <c r="AG118" s="277"/>
      <c r="AH118" s="491"/>
      <c r="AI118" s="243"/>
      <c r="AJ118" s="1042"/>
      <c r="AL118" s="1629"/>
    </row>
    <row r="119" spans="1:49" ht="15" customHeight="1">
      <c r="A119" s="218"/>
      <c r="B119" s="216" t="s">
        <v>168</v>
      </c>
      <c r="C119" s="218"/>
      <c r="D119" s="254"/>
      <c r="F119" s="254"/>
      <c r="H119" s="254"/>
      <c r="J119" s="254"/>
      <c r="L119" s="254"/>
      <c r="N119" s="254"/>
      <c r="P119" s="254"/>
      <c r="R119" s="254"/>
      <c r="T119" s="254"/>
      <c r="V119" s="254"/>
      <c r="X119" s="254"/>
      <c r="Z119" s="254"/>
      <c r="AA119" s="254"/>
      <c r="AB119" s="254"/>
      <c r="AC119" s="244"/>
      <c r="AD119" s="254"/>
      <c r="AE119" s="254"/>
      <c r="AF119" s="244"/>
      <c r="AG119" s="254"/>
      <c r="AH119" s="491"/>
      <c r="AI119" s="243"/>
      <c r="AJ119" s="1042"/>
      <c r="AL119" s="1629"/>
    </row>
    <row r="120" spans="1:49" ht="15" customHeight="1">
      <c r="A120" s="218"/>
      <c r="B120" s="216" t="s">
        <v>169</v>
      </c>
      <c r="C120" s="218"/>
      <c r="D120" s="254"/>
      <c r="F120" s="254"/>
      <c r="H120" s="254"/>
      <c r="J120" s="254"/>
      <c r="L120" s="254"/>
      <c r="N120" s="254"/>
      <c r="P120" s="254"/>
      <c r="R120" s="254"/>
      <c r="T120" s="254"/>
      <c r="V120" s="254"/>
      <c r="X120" s="254"/>
      <c r="Z120" s="254"/>
      <c r="AA120" s="254"/>
      <c r="AB120" s="254"/>
      <c r="AC120" s="244"/>
      <c r="AD120" s="254"/>
      <c r="AE120" s="254"/>
      <c r="AF120" s="244"/>
      <c r="AG120" s="254"/>
      <c r="AH120" s="491"/>
      <c r="AI120" s="243"/>
      <c r="AJ120" s="1042"/>
      <c r="AL120" s="1629"/>
    </row>
    <row r="121" spans="1:49" ht="15" customHeight="1">
      <c r="A121" s="218"/>
      <c r="B121" s="216" t="s">
        <v>1302</v>
      </c>
      <c r="C121" s="218"/>
      <c r="D121" s="1587">
        <f>ROUND(SUM(D111+D117),1)</f>
        <v>668.4</v>
      </c>
      <c r="F121" s="250">
        <f>ROUND(SUM(F111+F117),1)</f>
        <v>0</v>
      </c>
      <c r="H121" s="250">
        <f>ROUND(SUM(H111+H117),1)</f>
        <v>0</v>
      </c>
      <c r="J121" s="1587">
        <f>ROUND(SUM(J111+J117),1)</f>
        <v>0</v>
      </c>
      <c r="L121" s="1587">
        <f>ROUND(SUM(L111+L117),1)</f>
        <v>0</v>
      </c>
      <c r="N121" s="250">
        <f>ROUND(SUM(N111+N117),1)</f>
        <v>0</v>
      </c>
      <c r="P121" s="1587">
        <f>ROUND(SUM(P111+P117),1)</f>
        <v>0</v>
      </c>
      <c r="R121" s="1587">
        <f>ROUND(SUM(R111+R117),1)</f>
        <v>0</v>
      </c>
      <c r="T121" s="250">
        <f>ROUND(SUM(T111+T117),1)</f>
        <v>0</v>
      </c>
      <c r="V121" s="1587">
        <f>ROUND(SUM(V111+V117),1)</f>
        <v>0</v>
      </c>
      <c r="X121" s="1587">
        <f>ROUND(SUM(X111+X117),1)</f>
        <v>0</v>
      </c>
      <c r="Z121" s="250">
        <f>ROUND(SUM(Z111+Z117),1)</f>
        <v>0</v>
      </c>
      <c r="AA121" s="1587"/>
      <c r="AB121" s="3105">
        <f>ROUND(SUM(AB111+AB117),1)</f>
        <v>0</v>
      </c>
      <c r="AC121" s="252"/>
      <c r="AD121" s="250">
        <f>ROUND(SUM(AD111+AD117),1)</f>
        <v>668.4</v>
      </c>
      <c r="AE121" s="250"/>
      <c r="AF121" s="252"/>
      <c r="AG121" s="250">
        <f>ROUND(SUM(AG111+AG117),1)</f>
        <v>459.7</v>
      </c>
      <c r="AH121" s="498"/>
      <c r="AI121" s="264"/>
      <c r="AJ121" s="262">
        <f>ROUND(SUM(AD121-AG121),1)</f>
        <v>208.7</v>
      </c>
      <c r="AK121" s="399"/>
      <c r="AL121" s="3098">
        <f>ROUND(SUM(AJ121/ABS(AG121)),3)</f>
        <v>0.45400000000000001</v>
      </c>
    </row>
    <row r="122" spans="1:49" ht="15" customHeight="1">
      <c r="A122" s="218"/>
      <c r="B122" s="218"/>
      <c r="C122" s="218"/>
      <c r="D122" s="230"/>
      <c r="F122" s="230"/>
      <c r="H122" s="230"/>
      <c r="J122" s="230"/>
      <c r="L122" s="230"/>
      <c r="N122" s="230"/>
      <c r="P122" s="230"/>
      <c r="R122" s="230"/>
      <c r="T122" s="230"/>
      <c r="V122" s="230"/>
      <c r="X122" s="230"/>
      <c r="Z122" s="230"/>
      <c r="AA122" s="224"/>
      <c r="AC122" s="402"/>
      <c r="AD122" s="230"/>
      <c r="AF122" s="402"/>
      <c r="AG122" s="230"/>
      <c r="AH122" s="490"/>
      <c r="AI122" s="224"/>
      <c r="AJ122" s="1583"/>
      <c r="AL122" s="1629"/>
    </row>
    <row r="123" spans="1:49" ht="15" customHeight="1" thickBot="1">
      <c r="A123" s="218"/>
      <c r="B123" s="216" t="s">
        <v>1303</v>
      </c>
      <c r="C123" s="218"/>
      <c r="D123" s="283">
        <f>ROUND(SUM(D14+D121),1)</f>
        <v>4970.5</v>
      </c>
      <c r="F123" s="283">
        <f>ROUND(SUM(F14+F121),1)</f>
        <v>0</v>
      </c>
      <c r="H123" s="283">
        <f>ROUND(SUM(H14+H121),1)</f>
        <v>0</v>
      </c>
      <c r="J123" s="283">
        <f>ROUND(SUM(J14+J121),1)</f>
        <v>0</v>
      </c>
      <c r="L123" s="283">
        <f>ROUND(SUM(L14+L121),1)</f>
        <v>0</v>
      </c>
      <c r="N123" s="283">
        <f>ROUND(SUM(N14+N121),1)</f>
        <v>0</v>
      </c>
      <c r="P123" s="283">
        <f>ROUND(SUM(P14+P121),1)</f>
        <v>0</v>
      </c>
      <c r="R123" s="283">
        <f>ROUND(SUM(R14+R121),1)</f>
        <v>0</v>
      </c>
      <c r="T123" s="283">
        <f>ROUND(SUM(T14+T121),1)</f>
        <v>0</v>
      </c>
      <c r="V123" s="283">
        <f>ROUND(SUM(V14+V121),1)</f>
        <v>0</v>
      </c>
      <c r="X123" s="283">
        <f>ROUND(SUM(X14+X121),1)</f>
        <v>0</v>
      </c>
      <c r="Z123" s="283">
        <f>ROUND(SUM(Z14+Z121),1)</f>
        <v>0</v>
      </c>
      <c r="AA123" s="283"/>
      <c r="AB123" s="3106">
        <f>ROUND(SUM(AB14+AB121),1)</f>
        <v>0</v>
      </c>
      <c r="AC123" s="284"/>
      <c r="AD123" s="283">
        <f>ROUND(SUM(AD14+AD121),1)</f>
        <v>4970.5</v>
      </c>
      <c r="AE123" s="283"/>
      <c r="AF123" s="284"/>
      <c r="AG123" s="479">
        <f>ROUND(SUM(AG14+AG121),1)</f>
        <v>4731.8999999999996</v>
      </c>
      <c r="AH123" s="487"/>
      <c r="AI123" s="410"/>
      <c r="AJ123" s="479">
        <f>ROUND(SUM(AD123-AG123),1)</f>
        <v>238.6</v>
      </c>
      <c r="AK123" s="372"/>
      <c r="AL123" s="506">
        <f>ROUND(SUM(+AJ123/AG123),3)</f>
        <v>0.05</v>
      </c>
      <c r="AM123" s="482"/>
      <c r="AN123" s="482"/>
      <c r="AO123" s="482"/>
      <c r="AP123" s="482"/>
      <c r="AQ123" s="482"/>
      <c r="AR123" s="482"/>
      <c r="AS123" s="482"/>
      <c r="AT123" s="482"/>
      <c r="AU123" s="482"/>
      <c r="AV123" s="482"/>
      <c r="AW123" s="482"/>
    </row>
    <row r="124" spans="1:49" ht="15" customHeight="1" thickTop="1">
      <c r="A124" s="218"/>
      <c r="B124" s="218"/>
      <c r="C124" s="218"/>
      <c r="D124" s="507"/>
      <c r="F124" s="507"/>
      <c r="H124" s="507"/>
      <c r="J124" s="507"/>
      <c r="L124" s="507"/>
      <c r="N124" s="507"/>
      <c r="P124" s="507"/>
      <c r="R124" s="507"/>
      <c r="T124" s="507"/>
      <c r="V124" s="507"/>
      <c r="X124" s="507"/>
      <c r="Z124" s="507"/>
      <c r="AA124" s="508"/>
      <c r="AB124" s="482"/>
      <c r="AC124" s="482"/>
      <c r="AD124" s="507"/>
      <c r="AE124" s="482"/>
      <c r="AF124" s="482"/>
      <c r="AG124" s="508"/>
      <c r="AH124" s="508"/>
      <c r="AI124" s="482"/>
      <c r="AJ124" s="2277"/>
      <c r="AK124" s="482"/>
      <c r="AL124" s="1629"/>
      <c r="AM124" s="482"/>
      <c r="AN124" s="482"/>
      <c r="AO124" s="482"/>
      <c r="AP124" s="482"/>
      <c r="AQ124" s="482"/>
      <c r="AR124" s="482"/>
      <c r="AS124" s="482"/>
      <c r="AT124" s="482"/>
      <c r="AU124" s="482"/>
      <c r="AV124" s="482"/>
      <c r="AW124" s="482"/>
    </row>
    <row r="125" spans="1:49" ht="15" customHeight="1">
      <c r="A125" s="218"/>
      <c r="B125" s="218"/>
      <c r="C125" s="218"/>
      <c r="D125" s="508"/>
      <c r="F125" s="508"/>
      <c r="H125" s="508"/>
      <c r="J125" s="508"/>
      <c r="L125" s="508"/>
      <c r="N125" s="508"/>
      <c r="P125" s="508"/>
      <c r="R125" s="508"/>
      <c r="T125" s="508"/>
      <c r="V125" s="508"/>
      <c r="X125" s="508"/>
      <c r="Z125" s="508"/>
      <c r="AA125" s="508"/>
      <c r="AB125" s="508"/>
      <c r="AC125" s="508"/>
      <c r="AD125" s="508"/>
      <c r="AE125" s="508"/>
      <c r="AF125" s="508"/>
      <c r="AG125" s="508"/>
      <c r="AH125" s="508"/>
      <c r="AI125" s="482"/>
      <c r="AJ125" s="2277"/>
      <c r="AK125" s="482"/>
      <c r="AL125" s="1629"/>
      <c r="AM125" s="482"/>
      <c r="AN125" s="482"/>
      <c r="AO125" s="482"/>
      <c r="AP125" s="482"/>
      <c r="AQ125" s="482"/>
      <c r="AR125" s="482"/>
      <c r="AS125" s="482"/>
      <c r="AT125" s="482"/>
      <c r="AU125" s="482"/>
      <c r="AV125" s="482"/>
      <c r="AW125" s="482"/>
    </row>
    <row r="126" spans="1:49" ht="15" customHeight="1">
      <c r="A126" s="474"/>
      <c r="B126" s="1583" t="s">
        <v>1407</v>
      </c>
      <c r="D126" s="482"/>
      <c r="F126" s="482"/>
      <c r="H126" s="482"/>
      <c r="J126" s="482"/>
      <c r="L126" s="482"/>
      <c r="N126" s="482"/>
      <c r="P126" s="482"/>
      <c r="R126" s="482"/>
      <c r="T126" s="482"/>
      <c r="V126" s="482"/>
      <c r="X126" s="482"/>
      <c r="Z126" s="482"/>
      <c r="AA126" s="482"/>
      <c r="AB126" s="482"/>
      <c r="AC126" s="482"/>
      <c r="AD126" s="482"/>
      <c r="AE126" s="482"/>
      <c r="AF126" s="482"/>
      <c r="AG126" s="482"/>
      <c r="AH126" s="482"/>
      <c r="AI126" s="482"/>
      <c r="AJ126" s="2277"/>
      <c r="AK126" s="482"/>
      <c r="AL126" s="1629"/>
      <c r="AM126" s="482"/>
      <c r="AN126" s="482"/>
      <c r="AO126" s="482"/>
      <c r="AP126" s="482"/>
      <c r="AQ126" s="482"/>
      <c r="AR126" s="482"/>
      <c r="AS126" s="482"/>
      <c r="AT126" s="482"/>
      <c r="AU126" s="482"/>
      <c r="AV126" s="482"/>
      <c r="AW126" s="482"/>
    </row>
    <row r="127" spans="1:49" ht="15" customHeight="1">
      <c r="D127" s="482"/>
      <c r="F127" s="482"/>
      <c r="H127" s="482"/>
      <c r="J127" s="482"/>
      <c r="L127" s="482"/>
      <c r="N127" s="482"/>
      <c r="P127" s="482"/>
      <c r="R127" s="482"/>
      <c r="T127" s="482"/>
      <c r="V127" s="482"/>
      <c r="X127" s="482"/>
      <c r="Z127" s="482"/>
      <c r="AA127" s="482"/>
      <c r="AB127" s="482"/>
      <c r="AC127" s="482"/>
      <c r="AD127" s="482"/>
      <c r="AE127" s="482"/>
      <c r="AF127" s="482"/>
      <c r="AG127" s="482"/>
      <c r="AH127" s="482"/>
      <c r="AI127" s="482"/>
      <c r="AJ127" s="2277"/>
      <c r="AK127" s="482"/>
      <c r="AL127" s="1629"/>
      <c r="AM127" s="482"/>
      <c r="AN127" s="482"/>
      <c r="AO127" s="482"/>
      <c r="AP127" s="482"/>
      <c r="AQ127" s="482"/>
      <c r="AR127" s="482"/>
      <c r="AS127" s="482"/>
      <c r="AT127" s="482"/>
      <c r="AU127" s="482"/>
      <c r="AV127" s="482"/>
      <c r="AW127" s="482"/>
    </row>
    <row r="128" spans="1:49" ht="15" customHeight="1">
      <c r="AJ128" s="1583"/>
      <c r="AL128" s="1629"/>
    </row>
    <row r="129" spans="36:38" ht="15" customHeight="1">
      <c r="AJ129" s="1583"/>
      <c r="AL129" s="1629"/>
    </row>
    <row r="130" spans="36:38" ht="15" customHeight="1">
      <c r="AJ130" s="1583"/>
      <c r="AL130" s="1629"/>
    </row>
    <row r="131" spans="36:38" ht="15" customHeight="1">
      <c r="AJ131" s="1583"/>
      <c r="AL131" s="1629"/>
    </row>
    <row r="132" spans="36:38" ht="15" customHeight="1">
      <c r="AJ132" s="1583"/>
      <c r="AL132" s="1629"/>
    </row>
    <row r="133" spans="36:38" ht="15" customHeight="1">
      <c r="AJ133" s="1583"/>
      <c r="AL133" s="1629"/>
    </row>
    <row r="134" spans="36:38" ht="15" customHeight="1">
      <c r="AJ134" s="1583"/>
      <c r="AL134" s="1629"/>
    </row>
    <row r="135" spans="36:38" ht="15" customHeight="1">
      <c r="AJ135" s="1583"/>
      <c r="AL135" s="1629"/>
    </row>
    <row r="136" spans="36:38" ht="15" customHeight="1">
      <c r="AJ136" s="1583"/>
      <c r="AL136" s="1629"/>
    </row>
    <row r="137" spans="36:38" ht="15" customHeight="1">
      <c r="AJ137" s="1583"/>
      <c r="AL137" s="1629"/>
    </row>
    <row r="138" spans="36:38" ht="15" customHeight="1">
      <c r="AJ138" s="1583"/>
      <c r="AL138" s="1629"/>
    </row>
    <row r="139" spans="36:38" ht="15" customHeight="1">
      <c r="AJ139" s="1583"/>
      <c r="AL139" s="1629"/>
    </row>
    <row r="140" spans="36:38" ht="15" customHeight="1">
      <c r="AJ140" s="1583"/>
      <c r="AL140" s="1629"/>
    </row>
    <row r="141" spans="36:38" ht="15" customHeight="1">
      <c r="AJ141" s="1583"/>
      <c r="AL141" s="1629"/>
    </row>
    <row r="142" spans="36:38" ht="15" customHeight="1">
      <c r="AJ142" s="1583"/>
      <c r="AL142" s="1629"/>
    </row>
    <row r="143" spans="36:38" ht="15" customHeight="1">
      <c r="AJ143" s="1583"/>
      <c r="AL143" s="1629"/>
    </row>
    <row r="144" spans="36:38" ht="15" customHeight="1">
      <c r="AJ144" s="1583"/>
      <c r="AL144" s="1629"/>
    </row>
    <row r="145" spans="36:38" ht="15" customHeight="1">
      <c r="AJ145" s="1583"/>
      <c r="AL145" s="1629"/>
    </row>
    <row r="146" spans="36:38" ht="15" customHeight="1">
      <c r="AJ146" s="1583"/>
      <c r="AL146" s="1629"/>
    </row>
    <row r="147" spans="36:38" ht="15" customHeight="1">
      <c r="AJ147" s="1583"/>
      <c r="AL147" s="1629"/>
    </row>
    <row r="148" spans="36:38" ht="15" customHeight="1">
      <c r="AJ148" s="1583"/>
      <c r="AL148" s="1629"/>
    </row>
    <row r="149" spans="36:38" ht="15" customHeight="1">
      <c r="AJ149" s="1583"/>
      <c r="AL149" s="1629"/>
    </row>
    <row r="150" spans="36:38" ht="15" customHeight="1">
      <c r="AJ150" s="1583"/>
      <c r="AL150" s="1629"/>
    </row>
    <row r="151" spans="36:38" ht="15" customHeight="1">
      <c r="AJ151" s="1583"/>
      <c r="AL151" s="1629"/>
    </row>
    <row r="152" spans="36:38" ht="15" customHeight="1">
      <c r="AJ152" s="1583"/>
      <c r="AL152" s="1629"/>
    </row>
    <row r="153" spans="36:38" ht="15" customHeight="1">
      <c r="AJ153" s="1583"/>
      <c r="AL153" s="1629"/>
    </row>
    <row r="154" spans="36:38" ht="15" customHeight="1">
      <c r="AJ154" s="1583"/>
      <c r="AL154" s="1629"/>
    </row>
    <row r="155" spans="36:38" ht="15" customHeight="1">
      <c r="AJ155" s="1583"/>
      <c r="AL155" s="1629"/>
    </row>
    <row r="156" spans="36:38" ht="15" customHeight="1">
      <c r="AJ156" s="1583"/>
      <c r="AL156" s="1629"/>
    </row>
    <row r="157" spans="36:38" ht="15" customHeight="1">
      <c r="AJ157" s="1583"/>
      <c r="AL157" s="1629"/>
    </row>
    <row r="158" spans="36:38" ht="15" customHeight="1">
      <c r="AJ158" s="1583"/>
      <c r="AL158" s="1629"/>
    </row>
    <row r="159" spans="36:38" ht="15" customHeight="1">
      <c r="AJ159" s="1583"/>
      <c r="AL159" s="1629"/>
    </row>
    <row r="160" spans="36:38" ht="15" customHeight="1">
      <c r="AJ160" s="1583"/>
      <c r="AL160" s="1629"/>
    </row>
    <row r="161" spans="36:38" ht="15" customHeight="1">
      <c r="AJ161" s="1583"/>
      <c r="AL161" s="1629"/>
    </row>
    <row r="162" spans="36:38" ht="15" customHeight="1">
      <c r="AJ162" s="1583"/>
      <c r="AL162" s="1629"/>
    </row>
    <row r="163" spans="36:38" ht="15" customHeight="1">
      <c r="AJ163" s="1583"/>
      <c r="AL163" s="1629"/>
    </row>
    <row r="164" spans="36:38" ht="15" customHeight="1">
      <c r="AJ164" s="1583"/>
      <c r="AL164" s="1629"/>
    </row>
    <row r="165" spans="36:38" ht="15" customHeight="1">
      <c r="AJ165" s="1583"/>
      <c r="AL165" s="1629"/>
    </row>
    <row r="166" spans="36:38" ht="15" customHeight="1">
      <c r="AJ166" s="1583"/>
      <c r="AL166" s="1629"/>
    </row>
    <row r="167" spans="36:38" ht="15" customHeight="1">
      <c r="AJ167" s="1583"/>
      <c r="AL167" s="1629"/>
    </row>
    <row r="168" spans="36:38" ht="15" customHeight="1">
      <c r="AJ168" s="1583"/>
      <c r="AL168" s="1629"/>
    </row>
    <row r="169" spans="36:38" ht="15" customHeight="1">
      <c r="AJ169" s="1583"/>
      <c r="AL169" s="1629"/>
    </row>
    <row r="170" spans="36:38" ht="15" customHeight="1"/>
    <row r="171" spans="36:38" ht="15" customHeight="1"/>
    <row r="172" spans="36:38" ht="15" customHeight="1"/>
    <row r="173" spans="36:38" ht="15" customHeight="1"/>
    <row r="174" spans="36:38" ht="15" customHeight="1"/>
    <row r="175" spans="36:38"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mergeCells count="1">
    <mergeCell ref="AC10:AL10"/>
  </mergeCells>
  <pageMargins left="0.5" right="0.5" top="0.75" bottom="0.25" header="0" footer="0.25"/>
  <pageSetup scale="35" firstPageNumber="22" orientation="landscape" useFirstPageNumber="1" r:id="rId2"/>
  <headerFooter scaleWithDoc="0" alignWithMargins="0">
    <oddFooter>&amp;C&amp;8&amp;P</oddFooter>
  </headerFooter>
  <rowBreaks count="1" manualBreakCount="1">
    <brk id="81" min="1" max="36" man="1"/>
  </rowBreaks>
  <ignoredErrors>
    <ignoredError sqref="AL109:AL110 AL118:AL120 AL122 AL124 AL53:AL54 AL79:AL86 AL88:AL91 AL102:AL105 AL112:AL114 AL20:AL23 AL107 AL67:AL71 AL74 AL116 AL93:AL98 AL35:AL51" unlockedFormula="1"/>
    <ignoredError sqref="AL76:AL78 AL56:AL65 AL28:AL33 AL25:AL26" formula="1" unlockedFormula="1"/>
    <ignoredError sqref="AJ24:AK24 AL73 AL55 AL66 AL24 AL27 AL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zoomScale="70" zoomScaleNormal="55" workbookViewId="0">
      <selection activeCell="B41" sqref="B41"/>
    </sheetView>
  </sheetViews>
  <sheetFormatPr defaultColWidth="8.88671875" defaultRowHeight="11.25"/>
  <cols>
    <col min="1" max="1" width="35.21875" style="2" customWidth="1"/>
    <col min="2" max="2" width="9.33203125" style="2" customWidth="1"/>
    <col min="3" max="3" width="5.5546875" style="2" customWidth="1"/>
    <col min="4" max="4" width="12.6640625" style="1048" bestFit="1" customWidth="1"/>
    <col min="5" max="5" width="1.6640625" style="2" customWidth="1"/>
    <col min="6" max="6" width="13.44140625" style="2" customWidth="1"/>
    <col min="7" max="7" width="2.109375" style="2" customWidth="1"/>
    <col min="8" max="8" width="12.6640625" style="1048" bestFit="1" customWidth="1"/>
    <col min="9" max="9" width="1.88671875" style="2" customWidth="1"/>
    <col min="10" max="10" width="13.6640625" style="2" customWidth="1"/>
    <col min="11" max="11" width="1.88671875" style="2" customWidth="1"/>
    <col min="12" max="12" width="11.6640625" style="1048" customWidth="1"/>
    <col min="13" max="13" width="2" style="2" customWidth="1"/>
    <col min="14" max="14" width="13.6640625" style="2" customWidth="1"/>
    <col min="15" max="15" width="1.88671875" style="2" customWidth="1"/>
    <col min="16" max="16" width="13" style="2" customWidth="1"/>
    <col min="17" max="17" width="1.6640625" style="2" customWidth="1"/>
    <col min="18" max="18" width="13.21875" style="2" customWidth="1"/>
    <col min="19" max="21" width="1.109375" style="2" customWidth="1"/>
    <col min="22" max="22" width="12.6640625" style="1048" bestFit="1" customWidth="1"/>
    <col min="23" max="23" width="1.88671875" style="2" customWidth="1"/>
    <col min="24" max="24" width="13.6640625" style="2" customWidth="1"/>
    <col min="25" max="25" width="1.109375" style="2" customWidth="1"/>
    <col min="26" max="27" width="1.33203125" style="2" customWidth="1"/>
    <col min="28" max="28" width="12.109375" style="3207" customWidth="1"/>
    <col min="29" max="29" width="1.6640625" style="2" customWidth="1"/>
    <col min="30" max="30" width="13.6640625" style="131" customWidth="1"/>
    <col min="31" max="31" width="1" style="131" customWidth="1"/>
    <col min="32" max="32" width="1" style="2" customWidth="1"/>
    <col min="33" max="33" width="13.109375" style="2" bestFit="1" customWidth="1"/>
    <col min="34" max="34" width="1.6640625" style="2" customWidth="1"/>
    <col min="35" max="35" width="12.77734375" style="136" customWidth="1"/>
    <col min="36" max="36" width="19.109375" style="2" customWidth="1"/>
    <col min="37" max="16384" width="8.88671875" style="2"/>
  </cols>
  <sheetData>
    <row r="1" spans="1:38" ht="15">
      <c r="A1" s="1052" t="s">
        <v>1064</v>
      </c>
    </row>
    <row r="2" spans="1:38" ht="15">
      <c r="A2" s="1052"/>
    </row>
    <row r="3" spans="1:38" ht="20.25">
      <c r="A3" s="2015" t="s">
        <v>0</v>
      </c>
      <c r="B3" s="2016"/>
      <c r="C3" s="2016"/>
      <c r="D3" s="2016"/>
      <c r="E3" s="2016"/>
      <c r="F3" s="2016"/>
      <c r="G3" s="2016"/>
      <c r="H3" s="2016"/>
      <c r="I3" s="2016"/>
      <c r="J3" s="2016"/>
      <c r="K3" s="2016"/>
      <c r="L3" s="2016"/>
      <c r="M3" s="2016"/>
      <c r="N3" s="2016"/>
      <c r="O3" s="2016"/>
      <c r="P3" s="2016"/>
      <c r="Q3" s="2016"/>
      <c r="R3" s="2016"/>
      <c r="S3" s="2016"/>
      <c r="T3" s="2016"/>
      <c r="U3" s="2016"/>
      <c r="V3" s="2016"/>
      <c r="W3" s="2016"/>
      <c r="X3" s="2016"/>
      <c r="Y3" s="2016"/>
      <c r="Z3" s="2016"/>
      <c r="AA3" s="2016"/>
      <c r="AB3" s="3208"/>
      <c r="AC3" s="2016"/>
      <c r="AD3" s="2016"/>
      <c r="AE3" s="2016"/>
      <c r="AF3" s="2016"/>
      <c r="AG3" s="2016"/>
      <c r="AH3" s="2016"/>
      <c r="AI3" s="9" t="s">
        <v>2</v>
      </c>
      <c r="AJ3" s="1"/>
    </row>
    <row r="4" spans="1:38" ht="20.25">
      <c r="A4" s="3726" t="s">
        <v>1</v>
      </c>
      <c r="B4" s="3727"/>
      <c r="C4" s="3727"/>
      <c r="D4" s="3727"/>
      <c r="E4" s="3727"/>
      <c r="F4" s="3727"/>
      <c r="G4" s="3727"/>
      <c r="H4" s="3727"/>
      <c r="I4" s="3727"/>
      <c r="J4" s="3727"/>
      <c r="K4" s="3727"/>
      <c r="L4" s="3727"/>
      <c r="M4" s="3727"/>
      <c r="N4" s="3727"/>
      <c r="O4" s="3727"/>
      <c r="P4" s="3727"/>
      <c r="Q4" s="3727"/>
      <c r="R4" s="3727"/>
      <c r="S4" s="3727"/>
      <c r="T4" s="3727"/>
      <c r="U4" s="3727"/>
      <c r="V4" s="3727"/>
      <c r="W4" s="3727"/>
      <c r="X4" s="3727"/>
      <c r="Y4" s="3727"/>
      <c r="Z4" s="3727"/>
      <c r="AA4" s="3727"/>
      <c r="AB4" s="3727"/>
      <c r="AC4" s="3727"/>
      <c r="AD4" s="3727"/>
      <c r="AE4" s="3727"/>
      <c r="AF4" s="3727"/>
      <c r="AG4" s="3727"/>
      <c r="AH4" s="3727"/>
      <c r="AI4" s="3727"/>
      <c r="AJ4" s="1"/>
    </row>
    <row r="5" spans="1:38" ht="20.25">
      <c r="A5" s="3726" t="s">
        <v>964</v>
      </c>
      <c r="B5" s="3728"/>
      <c r="C5" s="3728"/>
      <c r="D5" s="3728"/>
      <c r="E5" s="3728"/>
      <c r="F5" s="3728"/>
      <c r="G5" s="3728"/>
      <c r="H5" s="3728"/>
      <c r="I5" s="3728"/>
      <c r="J5" s="3728"/>
      <c r="K5" s="3728"/>
      <c r="L5" s="3728"/>
      <c r="M5" s="3728"/>
      <c r="N5" s="3728"/>
      <c r="O5" s="3728"/>
      <c r="P5" s="3728"/>
      <c r="Q5" s="3728"/>
      <c r="R5" s="3728"/>
      <c r="S5" s="3728"/>
      <c r="T5" s="3728"/>
      <c r="U5" s="3728"/>
      <c r="V5" s="3728"/>
      <c r="W5" s="3728"/>
      <c r="X5" s="3728"/>
      <c r="Y5" s="3728"/>
      <c r="Z5" s="3728"/>
      <c r="AA5" s="3728"/>
      <c r="AB5" s="3728"/>
      <c r="AC5" s="3728"/>
      <c r="AD5" s="3728"/>
      <c r="AE5" s="3727"/>
      <c r="AF5" s="3727"/>
      <c r="AG5" s="3727"/>
      <c r="AH5" s="3727"/>
      <c r="AI5" s="3727"/>
      <c r="AJ5" s="1"/>
    </row>
    <row r="6" spans="1:38" ht="18" customHeight="1">
      <c r="A6" s="3726" t="s">
        <v>957</v>
      </c>
      <c r="B6" s="3727"/>
      <c r="C6" s="3727"/>
      <c r="D6" s="3727"/>
      <c r="E6" s="3727"/>
      <c r="F6" s="3727"/>
      <c r="G6" s="3727"/>
      <c r="H6" s="3727"/>
      <c r="I6" s="3727"/>
      <c r="J6" s="3727"/>
      <c r="K6" s="3727"/>
      <c r="L6" s="3727"/>
      <c r="M6" s="3727"/>
      <c r="N6" s="3727"/>
      <c r="O6" s="3727"/>
      <c r="P6" s="3727"/>
      <c r="Q6" s="3727"/>
      <c r="R6" s="3727"/>
      <c r="S6" s="3727"/>
      <c r="T6" s="3727"/>
      <c r="U6" s="3727"/>
      <c r="V6" s="3727"/>
      <c r="W6" s="3727"/>
      <c r="X6" s="3727"/>
      <c r="Y6" s="3727"/>
      <c r="Z6" s="3727"/>
      <c r="AA6" s="3727"/>
      <c r="AB6" s="3727"/>
      <c r="AC6" s="3727"/>
      <c r="AD6" s="3727"/>
      <c r="AE6" s="3727"/>
      <c r="AF6" s="3727"/>
      <c r="AG6" s="3727"/>
      <c r="AH6" s="3727"/>
      <c r="AI6" s="3727"/>
      <c r="AJ6" s="1"/>
    </row>
    <row r="7" spans="1:38" ht="15.75">
      <c r="A7" s="3"/>
      <c r="B7" s="3"/>
      <c r="C7" s="3"/>
      <c r="D7" s="1044"/>
      <c r="E7" s="3"/>
      <c r="F7" s="4"/>
      <c r="G7" s="3"/>
      <c r="H7" s="1049"/>
      <c r="I7" s="5"/>
      <c r="J7" s="6"/>
      <c r="K7" s="5"/>
      <c r="L7" s="1049"/>
      <c r="M7" s="3"/>
      <c r="N7" s="6"/>
      <c r="O7" s="5"/>
      <c r="P7" s="5"/>
      <c r="Q7" s="5"/>
      <c r="R7" s="6"/>
      <c r="S7" s="3"/>
      <c r="T7" s="3"/>
      <c r="U7" s="3"/>
      <c r="V7" s="1044"/>
      <c r="W7" s="3"/>
      <c r="X7" s="3"/>
      <c r="Y7" s="3"/>
      <c r="Z7" s="3"/>
      <c r="AA7" s="3"/>
      <c r="AB7" s="3209"/>
      <c r="AC7" s="3"/>
      <c r="AD7" s="7"/>
      <c r="AE7" s="7"/>
      <c r="AF7" s="8"/>
      <c r="AG7" s="8"/>
      <c r="AJ7" s="1"/>
      <c r="AK7" s="1"/>
      <c r="AL7" s="1"/>
    </row>
    <row r="8" spans="1:38" ht="15.95" customHeight="1">
      <c r="A8" s="5"/>
      <c r="B8" s="3"/>
      <c r="C8" s="3"/>
      <c r="D8" s="1049"/>
      <c r="E8" s="3"/>
      <c r="F8" s="4"/>
      <c r="G8" s="3"/>
      <c r="H8" s="1049"/>
      <c r="I8" s="5"/>
      <c r="J8" s="6"/>
      <c r="K8" s="5"/>
      <c r="L8" s="1049"/>
      <c r="M8" s="3"/>
      <c r="N8" s="6"/>
      <c r="O8" s="5"/>
      <c r="P8" s="5"/>
      <c r="Q8" s="5"/>
      <c r="R8" s="6"/>
      <c r="S8" s="3"/>
      <c r="T8" s="3"/>
      <c r="U8" s="3"/>
      <c r="V8" s="1044"/>
      <c r="W8" s="3"/>
      <c r="X8" s="3"/>
      <c r="Y8" s="3"/>
      <c r="Z8" s="3"/>
      <c r="AA8" s="3"/>
      <c r="AB8" s="3209"/>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210"/>
      <c r="AC9" s="3"/>
      <c r="AD9" s="13"/>
      <c r="AE9" s="13"/>
      <c r="AF9" s="14"/>
      <c r="AG9" s="14"/>
      <c r="AI9" s="1052"/>
      <c r="AJ9" s="1"/>
      <c r="AK9" s="1"/>
      <c r="AL9" s="1"/>
    </row>
    <row r="10" spans="1:38" ht="15.95"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729" t="s">
        <v>1288</v>
      </c>
      <c r="W10" s="3730"/>
      <c r="X10" s="3730"/>
      <c r="Y10" s="3730"/>
      <c r="Z10" s="3730"/>
      <c r="AA10" s="3730"/>
      <c r="AB10" s="3730"/>
      <c r="AC10" s="3730"/>
      <c r="AD10" s="3730"/>
      <c r="AE10" s="3730"/>
      <c r="AF10" s="3730"/>
      <c r="AG10" s="3730"/>
      <c r="AH10" s="3730"/>
      <c r="AI10" s="3730"/>
      <c r="AJ10" s="19"/>
      <c r="AK10" s="1"/>
      <c r="AL10" s="1"/>
    </row>
    <row r="11" spans="1:38" ht="15.95" customHeight="1">
      <c r="A11" s="15"/>
      <c r="B11" s="15"/>
      <c r="C11" s="15"/>
      <c r="D11" s="20" t="s">
        <v>7</v>
      </c>
      <c r="E11" s="20"/>
      <c r="F11" s="21" t="s">
        <v>1458</v>
      </c>
      <c r="G11" s="11"/>
      <c r="H11" s="20" t="s">
        <v>7</v>
      </c>
      <c r="I11" s="20"/>
      <c r="J11" s="22" t="str">
        <f>F11</f>
        <v>1 MO. ENDED</v>
      </c>
      <c r="K11" s="11"/>
      <c r="L11" s="20" t="s">
        <v>7</v>
      </c>
      <c r="M11" s="20"/>
      <c r="N11" s="22" t="str">
        <f>F11</f>
        <v>1 MO. ENDED</v>
      </c>
      <c r="O11" s="11"/>
      <c r="P11" s="20" t="s">
        <v>7</v>
      </c>
      <c r="Q11" s="20"/>
      <c r="R11" s="22" t="str">
        <f>J11</f>
        <v>1 MO. ENDED</v>
      </c>
      <c r="S11" s="11"/>
      <c r="T11" s="11"/>
      <c r="U11" s="1053"/>
      <c r="V11" s="20" t="s">
        <v>7</v>
      </c>
      <c r="W11" s="20"/>
      <c r="X11" s="20" t="str">
        <f>F11</f>
        <v>1 MO. ENDED</v>
      </c>
      <c r="Y11" s="20"/>
      <c r="Z11" s="20"/>
      <c r="AA11" s="20"/>
      <c r="AB11" s="24" t="s">
        <v>7</v>
      </c>
      <c r="AC11" s="20"/>
      <c r="AD11" s="24" t="str">
        <f>F11</f>
        <v>1 MO. ENDED</v>
      </c>
      <c r="AE11" s="24"/>
      <c r="AF11" s="20"/>
      <c r="AG11" s="20" t="s">
        <v>8</v>
      </c>
      <c r="AH11" s="1054"/>
      <c r="AI11" s="20" t="s">
        <v>9</v>
      </c>
      <c r="AJ11" s="1"/>
      <c r="AK11" s="1"/>
      <c r="AL11" s="1"/>
    </row>
    <row r="12" spans="1:38" ht="15.95" customHeight="1">
      <c r="A12" s="15"/>
      <c r="B12" s="15"/>
      <c r="C12" s="15"/>
      <c r="D12" s="25" t="s">
        <v>1457</v>
      </c>
      <c r="E12" s="11"/>
      <c r="F12" s="1555" t="s">
        <v>1459</v>
      </c>
      <c r="G12" s="11"/>
      <c r="H12" s="26" t="str">
        <f>D12</f>
        <v>APR. 2018</v>
      </c>
      <c r="I12" s="11"/>
      <c r="J12" s="27" t="str">
        <f>F12</f>
        <v>APR. 30, 2018</v>
      </c>
      <c r="K12" s="11"/>
      <c r="L12" s="26" t="str">
        <f>D12</f>
        <v>APR. 2018</v>
      </c>
      <c r="M12" s="11"/>
      <c r="N12" s="27" t="str">
        <f>F12</f>
        <v>APR. 30, 2018</v>
      </c>
      <c r="O12" s="11"/>
      <c r="P12" s="26" t="str">
        <f>D12</f>
        <v>APR. 2018</v>
      </c>
      <c r="Q12" s="11"/>
      <c r="R12" s="27" t="str">
        <f>J12</f>
        <v>APR. 30, 2018</v>
      </c>
      <c r="S12" s="11"/>
      <c r="T12" s="11"/>
      <c r="U12" s="1055"/>
      <c r="V12" s="26" t="str">
        <f>D12</f>
        <v>APR. 2018</v>
      </c>
      <c r="W12" s="11"/>
      <c r="X12" s="26" t="str">
        <f>F12</f>
        <v>APR. 30, 2018</v>
      </c>
      <c r="Y12" s="11"/>
      <c r="Z12" s="11"/>
      <c r="AA12" s="11"/>
      <c r="AB12" s="3211" t="s">
        <v>1460</v>
      </c>
      <c r="AC12" s="11"/>
      <c r="AD12" s="25" t="s">
        <v>1461</v>
      </c>
      <c r="AE12" s="28"/>
      <c r="AF12" s="28"/>
      <c r="AG12" s="26" t="s">
        <v>12</v>
      </c>
      <c r="AH12" s="1052"/>
      <c r="AI12" s="25" t="s">
        <v>13</v>
      </c>
      <c r="AJ12" s="19"/>
      <c r="AK12" s="1"/>
      <c r="AL12" s="1"/>
    </row>
    <row r="13" spans="1:38" ht="15.95" customHeight="1">
      <c r="A13" s="14" t="s">
        <v>14</v>
      </c>
      <c r="B13" s="15"/>
      <c r="C13" s="15"/>
      <c r="D13" s="1045" t="s">
        <v>15</v>
      </c>
      <c r="E13" s="15"/>
      <c r="F13" s="30"/>
      <c r="G13" s="15"/>
      <c r="H13" s="1045" t="s">
        <v>15</v>
      </c>
      <c r="I13" s="15"/>
      <c r="J13" s="30"/>
      <c r="K13" s="15"/>
      <c r="L13" s="1045" t="s">
        <v>15</v>
      </c>
      <c r="M13" s="15"/>
      <c r="N13" s="30"/>
      <c r="O13" s="15"/>
      <c r="P13" s="1006" t="s">
        <v>15</v>
      </c>
      <c r="Q13" s="1007"/>
      <c r="R13" s="1008"/>
      <c r="S13" s="31"/>
      <c r="T13" s="31"/>
      <c r="U13" s="29"/>
      <c r="V13" s="1045"/>
      <c r="W13" s="15"/>
      <c r="X13" s="29"/>
      <c r="Y13" s="31"/>
      <c r="Z13" s="32"/>
      <c r="AA13" s="29"/>
      <c r="AB13" s="3212"/>
      <c r="AC13" s="15"/>
      <c r="AD13" s="33"/>
      <c r="AE13" s="33"/>
      <c r="AF13" s="34"/>
      <c r="AG13" s="29"/>
      <c r="AI13" s="19"/>
      <c r="AJ13" s="19"/>
      <c r="AK13" s="1"/>
      <c r="AL13" s="1"/>
    </row>
    <row r="14" spans="1:38" ht="18" customHeight="1">
      <c r="A14" s="15" t="s">
        <v>16</v>
      </c>
      <c r="B14" s="1580"/>
      <c r="C14" s="15"/>
      <c r="D14" s="2223">
        <f>+'Exhibit F'!D28</f>
        <v>2928.1</v>
      </c>
      <c r="E14" s="37" t="s">
        <v>15</v>
      </c>
      <c r="F14" s="1075">
        <f>+'Exhibit F'!AC28</f>
        <v>2928.1</v>
      </c>
      <c r="G14" s="37"/>
      <c r="H14" s="2223">
        <f>'Exhibit G'!D18</f>
        <v>0</v>
      </c>
      <c r="I14" s="38"/>
      <c r="J14" s="1075">
        <f>'Exhibit G'!AD18</f>
        <v>0</v>
      </c>
      <c r="K14" s="37"/>
      <c r="L14" s="2306">
        <f>+'Exhibit H'!B16</f>
        <v>2928.1</v>
      </c>
      <c r="M14" s="1075"/>
      <c r="N14" s="1075">
        <f>+'Exhibit H'!AA16</f>
        <v>2928.1</v>
      </c>
      <c r="O14" s="1075"/>
      <c r="P14" s="1134">
        <v>0</v>
      </c>
      <c r="Q14" s="1135"/>
      <c r="R14" s="1134">
        <v>0</v>
      </c>
      <c r="S14" s="1251"/>
      <c r="T14" s="1251"/>
      <c r="U14" s="1252"/>
      <c r="V14" s="2223">
        <f t="shared" ref="V14:V19" si="0">ROUND(SUM(D14)+SUM(H14)+SUM(L14)+SUM(P14),1)</f>
        <v>5856.2</v>
      </c>
      <c r="W14" s="1250" t="s">
        <v>15</v>
      </c>
      <c r="X14" s="1075">
        <f>ROUND(SUM(F14)+SUM(J14)+SUM(N14)+SUM(R14),1)</f>
        <v>5856.2</v>
      </c>
      <c r="Y14" s="39"/>
      <c r="Z14" s="41"/>
      <c r="AA14" s="40"/>
      <c r="AB14" s="1731">
        <v>5001.8</v>
      </c>
      <c r="AC14" s="3032"/>
      <c r="AD14" s="2950">
        <f>'Exhibit F'!AF28+'Exhibit G'!AG18+'Exhibit H'!AD16</f>
        <v>5001.8</v>
      </c>
      <c r="AE14" s="42"/>
      <c r="AF14" s="43"/>
      <c r="AG14" s="37">
        <f t="shared" ref="AG14:AG19" si="1">ROUND(SUM(X14-AD14),1)</f>
        <v>854.4</v>
      </c>
      <c r="AH14" s="44"/>
      <c r="AI14" s="45">
        <f t="shared" ref="AI14:AI19" si="2">ROUND(SUM((+X14-AD14)/ABS(AD14)),3)</f>
        <v>0.17100000000000001</v>
      </c>
      <c r="AJ14" s="1553"/>
      <c r="AK14" s="1"/>
      <c r="AL14" s="1"/>
    </row>
    <row r="15" spans="1:38" ht="18" customHeight="1">
      <c r="A15" s="15" t="s">
        <v>17</v>
      </c>
      <c r="B15" s="46" t="s">
        <v>15</v>
      </c>
      <c r="C15" s="15"/>
      <c r="D15" s="1011">
        <f>+'Exhibit F'!D37</f>
        <v>543.79999999999995</v>
      </c>
      <c r="E15" s="47"/>
      <c r="F15" s="48">
        <f>+'Exhibit F'!AC37</f>
        <v>543.79999999999995</v>
      </c>
      <c r="G15" s="47"/>
      <c r="H15" s="1011">
        <f>'Exhibit G'!D29</f>
        <v>186.4</v>
      </c>
      <c r="I15" s="47"/>
      <c r="J15" s="48">
        <f>+'Exhibit G'!AD29</f>
        <v>186.4</v>
      </c>
      <c r="K15" s="47"/>
      <c r="L15" s="2305">
        <f>'Exhibit H'!B20</f>
        <v>502.8</v>
      </c>
      <c r="M15" s="48"/>
      <c r="N15" s="48">
        <f>+'Exhibit H'!AA20</f>
        <v>502.8</v>
      </c>
      <c r="O15" s="48"/>
      <c r="P15" s="2305">
        <f>'Exhibit I'!E23</f>
        <v>44.4</v>
      </c>
      <c r="Q15" s="1010"/>
      <c r="R15" s="1009">
        <f>+'Exhibit I'!AF23</f>
        <v>44.4</v>
      </c>
      <c r="S15" s="49"/>
      <c r="T15" s="49"/>
      <c r="U15" s="50"/>
      <c r="V15" s="1011">
        <f>ROUND(SUM(D15)+SUM(H15)+SUM(L15)+SUM(P15),1)</f>
        <v>1277.4000000000001</v>
      </c>
      <c r="W15" s="47" t="s">
        <v>15</v>
      </c>
      <c r="X15" s="47">
        <f t="shared" ref="X15:X19" si="3">ROUND(SUM(F15)+SUM(J15)+SUM(N15)+SUM(R15),1)</f>
        <v>1277.4000000000001</v>
      </c>
      <c r="Y15" s="49"/>
      <c r="Z15" s="51"/>
      <c r="AA15" s="50"/>
      <c r="AB15" s="1740">
        <v>1229.8</v>
      </c>
      <c r="AC15" s="52"/>
      <c r="AD15" s="3653">
        <f>'Exhibit F'!AF37+'Exhibit G'!AG29+'Exhibit H'!AD20+'Exhibit I'!AI23</f>
        <v>1229.8</v>
      </c>
      <c r="AE15" s="53"/>
      <c r="AF15" s="54"/>
      <c r="AG15" s="47">
        <f t="shared" si="1"/>
        <v>47.6</v>
      </c>
      <c r="AI15" s="45">
        <f t="shared" si="2"/>
        <v>3.9E-2</v>
      </c>
      <c r="AJ15" s="29"/>
      <c r="AK15" s="1"/>
      <c r="AL15" s="1"/>
    </row>
    <row r="16" spans="1:38" ht="18" customHeight="1">
      <c r="A16" s="15" t="s">
        <v>18</v>
      </c>
      <c r="B16" s="55"/>
      <c r="C16" s="15"/>
      <c r="D16" s="1011">
        <f>+'Exhibit F'!D44</f>
        <v>345.5</v>
      </c>
      <c r="E16" s="47"/>
      <c r="F16" s="48">
        <f>+'Exhibit F'!AC44</f>
        <v>345.5</v>
      </c>
      <c r="G16" s="47"/>
      <c r="H16" s="1011">
        <f>'Exhibit G'!D36</f>
        <v>172</v>
      </c>
      <c r="I16" s="47"/>
      <c r="J16" s="48">
        <f>'Exhibit G'!AD36</f>
        <v>172</v>
      </c>
      <c r="K16" s="47"/>
      <c r="L16" s="1016">
        <v>0</v>
      </c>
      <c r="M16" s="48"/>
      <c r="N16" s="56">
        <v>0</v>
      </c>
      <c r="O16" s="48"/>
      <c r="P16" s="2305">
        <f>'Exhibit I'!E28</f>
        <v>67.599999999999994</v>
      </c>
      <c r="Q16" s="1010"/>
      <c r="R16" s="1009">
        <f>'Exhibit I'!AF28</f>
        <v>67.599999999999994</v>
      </c>
      <c r="S16" s="49"/>
      <c r="T16" s="49"/>
      <c r="U16" s="50"/>
      <c r="V16" s="1010">
        <f t="shared" si="0"/>
        <v>585.1</v>
      </c>
      <c r="W16" s="47" t="s">
        <v>15</v>
      </c>
      <c r="X16" s="47">
        <f t="shared" si="3"/>
        <v>585.1</v>
      </c>
      <c r="Y16" s="49"/>
      <c r="Z16" s="51"/>
      <c r="AA16" s="50"/>
      <c r="AB16" s="1740">
        <v>603.20000000000005</v>
      </c>
      <c r="AC16" s="52"/>
      <c r="AD16" s="3653">
        <f>'Exhibit F'!AF44+'Exhibit G'!AG36+'Exhibit I'!AI28</f>
        <v>603.19999999999993</v>
      </c>
      <c r="AE16" s="53"/>
      <c r="AF16" s="54"/>
      <c r="AG16" s="47">
        <f t="shared" si="1"/>
        <v>-18.100000000000001</v>
      </c>
      <c r="AI16" s="45">
        <f t="shared" si="2"/>
        <v>-0.03</v>
      </c>
      <c r="AJ16" s="29"/>
      <c r="AK16" s="1"/>
      <c r="AL16" s="1"/>
    </row>
    <row r="17" spans="1:38" ht="18" customHeight="1">
      <c r="A17" s="15" t="s">
        <v>19</v>
      </c>
      <c r="B17" s="1580">
        <v>-4</v>
      </c>
      <c r="C17" s="15"/>
      <c r="D17" s="1011">
        <f>+'Exhibit F'!D52</f>
        <v>51.6</v>
      </c>
      <c r="E17" s="47"/>
      <c r="F17" s="48">
        <f>+'Exhibit F'!AC52</f>
        <v>51.6</v>
      </c>
      <c r="G17" s="47"/>
      <c r="H17" s="1011">
        <f>'Exhibit G'!D39</f>
        <v>0</v>
      </c>
      <c r="I17" s="47"/>
      <c r="J17" s="47">
        <f>'Exhibit G'!AD39</f>
        <v>0</v>
      </c>
      <c r="K17" s="47"/>
      <c r="L17" s="2305">
        <f>'Exhibit H'!B23</f>
        <v>87</v>
      </c>
      <c r="M17" s="48"/>
      <c r="N17" s="48">
        <f>+'Exhibit H'!AA23</f>
        <v>87</v>
      </c>
      <c r="O17" s="48"/>
      <c r="P17" s="2305">
        <f>'Exhibit I'!E31</f>
        <v>0</v>
      </c>
      <c r="Q17" s="1010"/>
      <c r="R17" s="1009">
        <f>'Exhibit I'!AF31</f>
        <v>0</v>
      </c>
      <c r="S17" s="49"/>
      <c r="T17" s="49"/>
      <c r="U17" s="50"/>
      <c r="V17" s="1010">
        <f t="shared" si="0"/>
        <v>138.6</v>
      </c>
      <c r="W17" s="47" t="s">
        <v>15</v>
      </c>
      <c r="X17" s="47">
        <f t="shared" si="3"/>
        <v>138.6</v>
      </c>
      <c r="Y17" s="49"/>
      <c r="Z17" s="51"/>
      <c r="AA17" s="50"/>
      <c r="AB17" s="1740">
        <v>305.89999999999998</v>
      </c>
      <c r="AC17" s="52"/>
      <c r="AD17" s="2309">
        <f>'Exhibit F'!AF52+'Exhibit G'!AG39+'Exhibit H'!AD23+'Exhibit I'!AI31</f>
        <v>305.90000000000003</v>
      </c>
      <c r="AE17" s="53"/>
      <c r="AF17" s="54"/>
      <c r="AG17" s="47">
        <f t="shared" si="1"/>
        <v>-167.3</v>
      </c>
      <c r="AI17" s="45">
        <f t="shared" si="2"/>
        <v>-0.54700000000000004</v>
      </c>
      <c r="AJ17" s="33"/>
      <c r="AK17" s="1"/>
      <c r="AL17" s="1"/>
    </row>
    <row r="18" spans="1:38" ht="18" customHeight="1">
      <c r="A18" s="15" t="s">
        <v>20</v>
      </c>
      <c r="B18" s="57"/>
      <c r="C18" s="15"/>
      <c r="D18" s="1011">
        <f>+'Exhibit F'!D92</f>
        <v>220.3</v>
      </c>
      <c r="E18" s="47"/>
      <c r="F18" s="48">
        <f>+'Exhibit F'!AC92</f>
        <v>220.3</v>
      </c>
      <c r="G18" s="47"/>
      <c r="H18" s="1011">
        <f>'Exhibit G'!D83</f>
        <v>1537.5</v>
      </c>
      <c r="I18" s="47"/>
      <c r="J18" s="48">
        <f>+'Exhibit G'!AD83</f>
        <v>1537.5</v>
      </c>
      <c r="K18" s="47"/>
      <c r="L18" s="2305">
        <f>+'Exhibit H'!B44</f>
        <v>43.9</v>
      </c>
      <c r="M18" s="48"/>
      <c r="N18" s="48">
        <f>+'Exhibit H'!AA44</f>
        <v>43.9</v>
      </c>
      <c r="O18" s="48"/>
      <c r="P18" s="2305">
        <f>+'Exhibit I'!E61</f>
        <v>407</v>
      </c>
      <c r="Q18" s="1010"/>
      <c r="R18" s="1011">
        <f>+'Exhibit I'!AF61</f>
        <v>407</v>
      </c>
      <c r="S18" s="49"/>
      <c r="T18" s="49"/>
      <c r="U18" s="50"/>
      <c r="V18" s="1010">
        <f t="shared" si="0"/>
        <v>2208.6999999999998</v>
      </c>
      <c r="W18" s="47" t="s">
        <v>15</v>
      </c>
      <c r="X18" s="47">
        <f t="shared" si="3"/>
        <v>2208.6999999999998</v>
      </c>
      <c r="Y18" s="49"/>
      <c r="Z18" s="51"/>
      <c r="AA18" s="50"/>
      <c r="AB18" s="1740">
        <v>1493.1000000000001</v>
      </c>
      <c r="AC18" s="52"/>
      <c r="AD18" s="2309">
        <f>'Exhibit F'!AF92+'Exhibit G'!AG83+'Exhibit H'!AD44+'Exhibit I'!AI61</f>
        <v>1493.1</v>
      </c>
      <c r="AE18" s="53"/>
      <c r="AF18" s="54"/>
      <c r="AG18" s="47">
        <f t="shared" si="1"/>
        <v>715.6</v>
      </c>
      <c r="AI18" s="45">
        <f t="shared" si="2"/>
        <v>0.47899999999999998</v>
      </c>
      <c r="AJ18" s="29"/>
      <c r="AK18" s="1"/>
      <c r="AL18" s="1"/>
    </row>
    <row r="19" spans="1:38" ht="18" customHeight="1">
      <c r="A19" s="15" t="s">
        <v>21</v>
      </c>
      <c r="B19" s="57"/>
      <c r="C19" s="15"/>
      <c r="D19" s="1011">
        <f>+'Exhibit F'!D94</f>
        <v>0</v>
      </c>
      <c r="E19" s="50"/>
      <c r="F19" s="48">
        <f>+'Exhibit F'!AC94</f>
        <v>0</v>
      </c>
      <c r="G19" s="47"/>
      <c r="H19" s="1011">
        <f>'Exhibit G'!D85</f>
        <v>3557.3</v>
      </c>
      <c r="I19" s="47"/>
      <c r="J19" s="48">
        <f>+'Exhibit G'!AD85</f>
        <v>3557.3</v>
      </c>
      <c r="K19" s="47"/>
      <c r="L19" s="2305">
        <f>+'Exhibit H'!B46</f>
        <v>0</v>
      </c>
      <c r="M19" s="72"/>
      <c r="N19" s="48">
        <f>+'Exhibit H'!AA46</f>
        <v>0</v>
      </c>
      <c r="O19" s="48"/>
      <c r="P19" s="2305">
        <f>+'Exhibit I'!E63</f>
        <v>58.7</v>
      </c>
      <c r="Q19" s="1010"/>
      <c r="R19" s="1011">
        <f>+'Exhibit I'!AF63</f>
        <v>58.7</v>
      </c>
      <c r="S19" s="49"/>
      <c r="T19" s="49"/>
      <c r="U19" s="50"/>
      <c r="V19" s="1012">
        <f t="shared" si="0"/>
        <v>3616</v>
      </c>
      <c r="W19" s="47" t="s">
        <v>15</v>
      </c>
      <c r="X19" s="50">
        <f t="shared" si="3"/>
        <v>3616</v>
      </c>
      <c r="Y19" s="49"/>
      <c r="Z19" s="51"/>
      <c r="AA19" s="50"/>
      <c r="AB19" s="1740">
        <v>3473.2</v>
      </c>
      <c r="AC19" s="52"/>
      <c r="AD19" s="2309">
        <f>'Exhibit F'!AF94+'Exhibit G'!AG85+'Exhibit H'!AD46+'Exhibit I'!AI63</f>
        <v>3473.2</v>
      </c>
      <c r="AE19" s="53"/>
      <c r="AF19" s="54"/>
      <c r="AG19" s="47">
        <f t="shared" si="1"/>
        <v>142.80000000000001</v>
      </c>
      <c r="AI19" s="45">
        <f t="shared" si="2"/>
        <v>4.1000000000000002E-2</v>
      </c>
      <c r="AJ19" s="29"/>
      <c r="AK19" s="1"/>
      <c r="AL19" s="1"/>
    </row>
    <row r="20" spans="1:38" ht="18" customHeight="1">
      <c r="A20" s="14" t="s">
        <v>22</v>
      </c>
      <c r="B20" s="15"/>
      <c r="C20" s="15"/>
      <c r="D20" s="60">
        <f>ROUND(SUM(D14:D19),1)</f>
        <v>4089.3</v>
      </c>
      <c r="E20" s="59"/>
      <c r="F20" s="60">
        <f>ROUND(SUM(F14:F19),1)</f>
        <v>4089.3</v>
      </c>
      <c r="G20" s="61"/>
      <c r="H20" s="63">
        <f>ROUND(SUM(H14:H19),1)</f>
        <v>5453.2</v>
      </c>
      <c r="I20" s="61"/>
      <c r="J20" s="63">
        <f>ROUND(SUM(J14:J19),1)</f>
        <v>5453.2</v>
      </c>
      <c r="K20" s="61"/>
      <c r="L20" s="60">
        <f>ROUND(SUM(L14:L19),1)</f>
        <v>3561.8</v>
      </c>
      <c r="M20" s="2226"/>
      <c r="N20" s="63">
        <f>ROUND(SUM(N14:N19),1)</f>
        <v>3561.8</v>
      </c>
      <c r="O20" s="2226"/>
      <c r="P20" s="63">
        <f>ROUND(SUM(P14:P19),1)</f>
        <v>577.70000000000005</v>
      </c>
      <c r="Q20" s="61"/>
      <c r="R20" s="63">
        <f>ROUND(SUM(R14:R19),1)</f>
        <v>577.70000000000005</v>
      </c>
      <c r="S20" s="64"/>
      <c r="T20" s="64"/>
      <c r="U20" s="65"/>
      <c r="V20" s="62">
        <f>ROUND(SUM(V14:V19),1)</f>
        <v>13682</v>
      </c>
      <c r="W20" s="61"/>
      <c r="X20" s="62">
        <f>ROUND(SUM(X14:X19),1)</f>
        <v>13682</v>
      </c>
      <c r="Y20" s="64"/>
      <c r="Z20" s="66"/>
      <c r="AA20" s="65"/>
      <c r="AB20" s="1882">
        <f>ROUND(SUM(AB14:AB19),1)</f>
        <v>12107</v>
      </c>
      <c r="AC20" s="61"/>
      <c r="AD20" s="62">
        <f>ROUND(SUM(AD14:AD19),1)</f>
        <v>12107</v>
      </c>
      <c r="AE20" s="67"/>
      <c r="AF20" s="68"/>
      <c r="AG20" s="62">
        <f>ROUND(SUM(AG14:AG19),1)</f>
        <v>1575</v>
      </c>
      <c r="AH20" s="69"/>
      <c r="AI20" s="70">
        <f>(+X20-AD20)/ABS(AD20)</f>
        <v>0.13009003056083257</v>
      </c>
      <c r="AJ20" s="71"/>
      <c r="AK20" s="1"/>
      <c r="AL20" s="1"/>
    </row>
    <row r="21" spans="1:38" ht="15.95" customHeight="1">
      <c r="A21" s="14"/>
      <c r="B21" s="15"/>
      <c r="C21" s="15"/>
      <c r="D21" s="1013"/>
      <c r="E21" s="50"/>
      <c r="F21" s="72"/>
      <c r="G21" s="47"/>
      <c r="H21" s="1013"/>
      <c r="I21" s="47"/>
      <c r="J21" s="72"/>
      <c r="K21" s="47"/>
      <c r="L21" s="1013"/>
      <c r="M21" s="48"/>
      <c r="N21" s="72"/>
      <c r="O21" s="48"/>
      <c r="P21" s="1013"/>
      <c r="Q21" s="1010"/>
      <c r="R21" s="1013"/>
      <c r="S21" s="49"/>
      <c r="T21" s="49"/>
      <c r="U21" s="50"/>
      <c r="V21" s="1012"/>
      <c r="W21" s="47"/>
      <c r="X21" s="50"/>
      <c r="Y21" s="49"/>
      <c r="Z21" s="51"/>
      <c r="AA21" s="50"/>
      <c r="AB21" s="1018"/>
      <c r="AC21" s="47"/>
      <c r="AD21" s="53"/>
      <c r="AE21" s="53"/>
      <c r="AF21" s="54"/>
      <c r="AG21" s="50"/>
      <c r="AI21" s="19"/>
      <c r="AJ21" s="29"/>
      <c r="AK21" s="1"/>
      <c r="AL21" s="1"/>
    </row>
    <row r="22" spans="1:38" ht="15.95" customHeight="1">
      <c r="A22" s="14" t="s">
        <v>23</v>
      </c>
      <c r="B22" s="15"/>
      <c r="C22" s="15"/>
      <c r="D22" s="1011"/>
      <c r="E22" s="47"/>
      <c r="F22" s="48"/>
      <c r="G22" s="47"/>
      <c r="H22" s="1011"/>
      <c r="I22" s="47"/>
      <c r="J22" s="48"/>
      <c r="K22" s="47"/>
      <c r="L22" s="1011"/>
      <c r="M22" s="48"/>
      <c r="N22" s="48"/>
      <c r="O22" s="48"/>
      <c r="P22" s="1011"/>
      <c r="Q22" s="1010"/>
      <c r="R22" s="1011"/>
      <c r="S22" s="49"/>
      <c r="T22" s="49"/>
      <c r="U22" s="50"/>
      <c r="V22" s="1010"/>
      <c r="W22" s="47"/>
      <c r="X22" s="47"/>
      <c r="Y22" s="49"/>
      <c r="Z22" s="51"/>
      <c r="AA22" s="50"/>
      <c r="AB22" s="1019"/>
      <c r="AC22" s="47"/>
      <c r="AD22" s="53"/>
      <c r="AE22" s="53"/>
      <c r="AF22" s="54"/>
      <c r="AG22" s="47"/>
      <c r="AI22" s="19"/>
      <c r="AJ22" s="29"/>
      <c r="AK22" s="1"/>
      <c r="AL22" s="1"/>
    </row>
    <row r="23" spans="1:38" ht="15.95" customHeight="1">
      <c r="A23" s="15" t="s">
        <v>24</v>
      </c>
      <c r="B23" s="3567" t="s">
        <v>1508</v>
      </c>
      <c r="C23" s="15"/>
      <c r="D23" s="1016" t="s">
        <v>15</v>
      </c>
      <c r="E23" s="47"/>
      <c r="F23" s="56" t="s">
        <v>15</v>
      </c>
      <c r="G23" s="47"/>
      <c r="H23" s="1015"/>
      <c r="I23" s="47"/>
      <c r="J23" s="73"/>
      <c r="K23" s="47"/>
      <c r="L23" s="1015"/>
      <c r="M23" s="48"/>
      <c r="N23" s="73"/>
      <c r="O23" s="48"/>
      <c r="P23" s="1015"/>
      <c r="Q23" s="1010"/>
      <c r="R23" s="1015"/>
      <c r="S23" s="49"/>
      <c r="T23" s="49"/>
      <c r="U23" s="50"/>
      <c r="V23" s="1014"/>
      <c r="W23" s="47"/>
      <c r="X23" s="58"/>
      <c r="Y23" s="49"/>
      <c r="Z23" s="51"/>
      <c r="AA23" s="50"/>
      <c r="AB23" s="3024"/>
      <c r="AC23" s="47"/>
      <c r="AD23" s="58"/>
      <c r="AE23" s="53"/>
      <c r="AF23" s="54"/>
      <c r="AG23" s="58"/>
      <c r="AI23" s="74"/>
      <c r="AJ23" s="29"/>
      <c r="AK23" s="1"/>
      <c r="AL23" s="1"/>
    </row>
    <row r="24" spans="1:38" ht="18" customHeight="1">
      <c r="A24" s="1445" t="s">
        <v>25</v>
      </c>
      <c r="B24" s="15"/>
      <c r="C24" s="15"/>
      <c r="D24" s="2230">
        <f>+'Exhibit F'!D100</f>
        <v>1179.9000000000001</v>
      </c>
      <c r="E24" s="47"/>
      <c r="F24" s="48">
        <f>+'Exhibit F'!AC100</f>
        <v>1179.9000000000001</v>
      </c>
      <c r="G24" s="47"/>
      <c r="H24" s="2305">
        <f>'Exhibit G'!D91</f>
        <v>378.20000000000005</v>
      </c>
      <c r="I24" s="47"/>
      <c r="J24" s="48">
        <f>+'Exhibit G'!AD91</f>
        <v>378.2</v>
      </c>
      <c r="K24" s="47"/>
      <c r="L24" s="2225">
        <v>0</v>
      </c>
      <c r="M24" s="72"/>
      <c r="N24" s="75">
        <v>0</v>
      </c>
      <c r="O24" s="48"/>
      <c r="P24" s="2305">
        <f>'Exhibit I'!E69</f>
        <v>8</v>
      </c>
      <c r="Q24" s="1009"/>
      <c r="R24" s="1011">
        <f>+'Exhibit I'!AF69</f>
        <v>8</v>
      </c>
      <c r="S24" s="49"/>
      <c r="T24" s="49"/>
      <c r="U24" s="50"/>
      <c r="V24" s="1010">
        <f>ROUND(SUM(D24)+SUM(H24)+SUM(L24)+SUM(P24),1)</f>
        <v>1566.1</v>
      </c>
      <c r="W24" s="47" t="s">
        <v>15</v>
      </c>
      <c r="X24" s="47">
        <f>ROUND(SUM(F24)+SUM(J24)+SUM(N24)+SUM(R24),1)</f>
        <v>1566.1</v>
      </c>
      <c r="Y24" s="49"/>
      <c r="Z24" s="51"/>
      <c r="AA24" s="50"/>
      <c r="AB24" s="1740">
        <v>1247.7</v>
      </c>
      <c r="AC24" s="52"/>
      <c r="AD24" s="2309">
        <f>'Exhibit F'!AF100+'Exhibit G'!AG91+'Exhibit I'!AI69</f>
        <v>1247.7</v>
      </c>
      <c r="AE24" s="76"/>
      <c r="AF24" s="77"/>
      <c r="AG24" s="47">
        <f>ROUND(SUM(X24-AD24),1)</f>
        <v>318.39999999999998</v>
      </c>
      <c r="AI24" s="45">
        <f>ROUND(SUM((+X24-AD24)/ABS(AD24)),3)</f>
        <v>0.255</v>
      </c>
      <c r="AJ24" s="29"/>
      <c r="AK24" s="1"/>
      <c r="AL24" s="1"/>
    </row>
    <row r="25" spans="1:38" ht="18" customHeight="1">
      <c r="A25" s="1445" t="s">
        <v>26</v>
      </c>
      <c r="B25" s="78"/>
      <c r="C25" s="15"/>
      <c r="D25" s="2230">
        <f>+'Exhibit F'!D101</f>
        <v>0.4</v>
      </c>
      <c r="E25" s="47"/>
      <c r="F25" s="48">
        <f>+'Exhibit F'!AC101</f>
        <v>0.4</v>
      </c>
      <c r="G25" s="47"/>
      <c r="H25" s="2305">
        <f>'Exhibit G'!D92</f>
        <v>0</v>
      </c>
      <c r="I25" s="47"/>
      <c r="J25" s="48">
        <f>+'Exhibit G'!AD92</f>
        <v>0</v>
      </c>
      <c r="K25" s="47"/>
      <c r="L25" s="2225">
        <v>0</v>
      </c>
      <c r="M25" s="72"/>
      <c r="N25" s="75">
        <v>0</v>
      </c>
      <c r="O25" s="48"/>
      <c r="P25" s="2305">
        <f>'Exhibit I'!E70</f>
        <v>7.6000000000000005</v>
      </c>
      <c r="Q25" s="1009"/>
      <c r="R25" s="1011">
        <f>+'Exhibit I'!AF70</f>
        <v>7.6</v>
      </c>
      <c r="S25" s="49"/>
      <c r="T25" s="49"/>
      <c r="U25" s="50"/>
      <c r="V25" s="1010">
        <f t="shared" ref="V25:V32" si="4">ROUND(SUM(D25)+SUM(H25)+SUM(L25)+SUM(P25),1)</f>
        <v>8</v>
      </c>
      <c r="W25" s="47" t="s">
        <v>15</v>
      </c>
      <c r="X25" s="47">
        <f t="shared" ref="X25:X32" si="5">ROUND(SUM(F25)+SUM(J25)+SUM(N25)+SUM(R25),1)</f>
        <v>8</v>
      </c>
      <c r="Y25" s="49"/>
      <c r="Z25" s="51"/>
      <c r="AA25" s="50"/>
      <c r="AB25" s="1740">
        <v>2.6999999999999997</v>
      </c>
      <c r="AC25" s="3033"/>
      <c r="AD25" s="2309">
        <f>'Exhibit F'!AF101+'Exhibit G'!AG92+'Exhibit I'!AI70</f>
        <v>2.6999999999999997</v>
      </c>
      <c r="AE25" s="50"/>
      <c r="AF25" s="54"/>
      <c r="AG25" s="47">
        <f t="shared" ref="AG25:AG33" si="6">ROUND(SUM(X25-AD25),1)</f>
        <v>5.3</v>
      </c>
      <c r="AI25" s="45">
        <f t="shared" ref="AI25:AI32" si="7">ROUND(SUM((+X25-AD25)/ABS(AD25)),3)</f>
        <v>1.9630000000000001</v>
      </c>
      <c r="AJ25" s="29"/>
      <c r="AK25" s="1"/>
      <c r="AL25" s="1"/>
    </row>
    <row r="26" spans="1:38" ht="18" customHeight="1">
      <c r="A26" s="1445" t="s">
        <v>27</v>
      </c>
      <c r="B26" s="79"/>
      <c r="C26" s="15"/>
      <c r="D26" s="2230">
        <f>+'Exhibit F'!D102</f>
        <v>1.4</v>
      </c>
      <c r="E26" s="47"/>
      <c r="F26" s="48">
        <f>+'Exhibit F'!AC102</f>
        <v>1.4</v>
      </c>
      <c r="G26" s="47"/>
      <c r="H26" s="2305">
        <f>'Exhibit G'!D93</f>
        <v>13.7</v>
      </c>
      <c r="I26" s="47"/>
      <c r="J26" s="48">
        <f>+'Exhibit G'!AD93</f>
        <v>13.7</v>
      </c>
      <c r="K26" s="47"/>
      <c r="L26" s="2225">
        <v>0</v>
      </c>
      <c r="M26" s="72"/>
      <c r="N26" s="75">
        <v>0</v>
      </c>
      <c r="O26" s="48"/>
      <c r="P26" s="2305">
        <f>'Exhibit I'!E71</f>
        <v>24.6</v>
      </c>
      <c r="Q26" s="1009"/>
      <c r="R26" s="1011">
        <f>+'Exhibit I'!AF71</f>
        <v>24.6</v>
      </c>
      <c r="S26" s="49"/>
      <c r="T26" s="49"/>
      <c r="U26" s="50"/>
      <c r="V26" s="1010">
        <f t="shared" si="4"/>
        <v>39.700000000000003</v>
      </c>
      <c r="W26" s="47" t="s">
        <v>15</v>
      </c>
      <c r="X26" s="47">
        <f t="shared" si="5"/>
        <v>39.700000000000003</v>
      </c>
      <c r="Y26" s="49"/>
      <c r="Z26" s="51"/>
      <c r="AA26" s="50"/>
      <c r="AB26" s="1740">
        <v>24.1</v>
      </c>
      <c r="AC26" s="52"/>
      <c r="AD26" s="2309">
        <f>'Exhibit F'!AF102+'Exhibit G'!AG93+'Exhibit I'!AI71</f>
        <v>24.1</v>
      </c>
      <c r="AE26" s="50"/>
      <c r="AF26" s="54"/>
      <c r="AG26" s="47">
        <f t="shared" si="6"/>
        <v>15.6</v>
      </c>
      <c r="AI26" s="45">
        <f t="shared" si="7"/>
        <v>0.64700000000000002</v>
      </c>
      <c r="AJ26" s="29"/>
      <c r="AK26" s="1"/>
      <c r="AL26" s="1"/>
    </row>
    <row r="27" spans="1:38" ht="18" customHeight="1">
      <c r="A27" s="1445" t="s">
        <v>28</v>
      </c>
      <c r="B27" s="36"/>
      <c r="C27" s="15"/>
      <c r="D27" s="1011"/>
      <c r="E27" s="47"/>
      <c r="F27" s="48"/>
      <c r="G27" s="47"/>
      <c r="H27" s="2305"/>
      <c r="I27" s="47"/>
      <c r="J27" s="48" t="s">
        <v>15</v>
      </c>
      <c r="K27" s="47"/>
      <c r="L27" s="2302" t="s">
        <v>15</v>
      </c>
      <c r="M27" s="72"/>
      <c r="N27" s="81" t="s">
        <v>15</v>
      </c>
      <c r="O27" s="48"/>
      <c r="P27" s="2305"/>
      <c r="Q27" s="1009"/>
      <c r="R27" s="1011"/>
      <c r="S27" s="49"/>
      <c r="T27" s="49"/>
      <c r="U27" s="50"/>
      <c r="V27" s="1010" t="s">
        <v>15</v>
      </c>
      <c r="W27" s="47"/>
      <c r="X27" s="1010" t="s">
        <v>15</v>
      </c>
      <c r="Y27" s="49"/>
      <c r="Z27" s="51"/>
      <c r="AA27" s="50"/>
      <c r="AB27" s="1010"/>
      <c r="AC27" s="52"/>
      <c r="AD27" s="96"/>
      <c r="AE27" s="50"/>
      <c r="AF27" s="54"/>
      <c r="AG27" s="47"/>
      <c r="AI27" s="1565" t="s">
        <v>15</v>
      </c>
      <c r="AJ27" s="29"/>
      <c r="AK27" s="1"/>
      <c r="AL27" s="1"/>
    </row>
    <row r="28" spans="1:38" ht="18" customHeight="1">
      <c r="A28" s="1446" t="s">
        <v>29</v>
      </c>
      <c r="B28" s="46"/>
      <c r="C28" s="15"/>
      <c r="D28" s="2230">
        <f>+'Exhibit F'!D104</f>
        <v>1515.6</v>
      </c>
      <c r="E28" s="47"/>
      <c r="F28" s="48">
        <f>+'Exhibit F'!AC104</f>
        <v>1515.6</v>
      </c>
      <c r="G28" s="47"/>
      <c r="H28" s="2305">
        <f>'Exhibit G'!D95</f>
        <v>2858.1000000000004</v>
      </c>
      <c r="I28" s="47"/>
      <c r="J28" s="48">
        <f>+'Exhibit G'!AD95</f>
        <v>2858.1</v>
      </c>
      <c r="K28" s="47"/>
      <c r="L28" s="2225">
        <v>0</v>
      </c>
      <c r="M28" s="72"/>
      <c r="N28" s="75">
        <v>0</v>
      </c>
      <c r="O28" s="48"/>
      <c r="P28" s="2305">
        <f>'Exhibit I'!E73</f>
        <v>0</v>
      </c>
      <c r="Q28" s="1009"/>
      <c r="R28" s="1015">
        <f>+'Exhibit I'!AF73</f>
        <v>0</v>
      </c>
      <c r="S28" s="49"/>
      <c r="T28" s="49"/>
      <c r="U28" s="50"/>
      <c r="V28" s="1010">
        <f t="shared" si="4"/>
        <v>4373.7</v>
      </c>
      <c r="W28" s="47" t="s">
        <v>15</v>
      </c>
      <c r="X28" s="47">
        <f t="shared" si="5"/>
        <v>4373.7</v>
      </c>
      <c r="Y28" s="49"/>
      <c r="Z28" s="51"/>
      <c r="AA28" s="50"/>
      <c r="AB28" s="1740">
        <v>4456.8999999999996</v>
      </c>
      <c r="AC28" s="52"/>
      <c r="AD28" s="2309">
        <f>'Exhibit F'!AF104+'Exhibit G'!AG95+'Exhibit I'!AI73</f>
        <v>4456.8999999999996</v>
      </c>
      <c r="AE28" s="50"/>
      <c r="AF28" s="54"/>
      <c r="AG28" s="47">
        <f t="shared" si="6"/>
        <v>-83.2</v>
      </c>
      <c r="AI28" s="45">
        <f t="shared" si="7"/>
        <v>-1.9E-2</v>
      </c>
      <c r="AJ28" s="29"/>
      <c r="AK28" s="2621"/>
      <c r="AL28" s="1"/>
    </row>
    <row r="29" spans="1:38" ht="18" customHeight="1">
      <c r="A29" s="1445" t="s">
        <v>30</v>
      </c>
      <c r="B29" s="46"/>
      <c r="C29" s="15"/>
      <c r="D29" s="2230">
        <f>+'Exhibit F'!D105</f>
        <v>195.29999999999998</v>
      </c>
      <c r="E29" s="47"/>
      <c r="F29" s="48">
        <f>+'Exhibit F'!AC105</f>
        <v>195.29999999999998</v>
      </c>
      <c r="G29" s="47"/>
      <c r="H29" s="2305">
        <f>'Exhibit G'!D96</f>
        <v>542.69999999999993</v>
      </c>
      <c r="I29" s="47"/>
      <c r="J29" s="48">
        <f>+'Exhibit G'!AD96</f>
        <v>542.70000000000005</v>
      </c>
      <c r="K29" s="47"/>
      <c r="L29" s="2225">
        <v>0</v>
      </c>
      <c r="M29" s="72"/>
      <c r="N29" s="75">
        <v>0</v>
      </c>
      <c r="O29" s="48"/>
      <c r="P29" s="2305">
        <f>'Exhibit I'!E74</f>
        <v>19.5</v>
      </c>
      <c r="Q29" s="1009"/>
      <c r="R29" s="1011">
        <f>+'Exhibit I'!AF74</f>
        <v>19.5</v>
      </c>
      <c r="S29" s="49"/>
      <c r="T29" s="49"/>
      <c r="U29" s="50"/>
      <c r="V29" s="1010">
        <f t="shared" si="4"/>
        <v>757.5</v>
      </c>
      <c r="W29" s="47" t="s">
        <v>15</v>
      </c>
      <c r="X29" s="47">
        <f t="shared" si="5"/>
        <v>757.5</v>
      </c>
      <c r="Y29" s="49"/>
      <c r="Z29" s="51"/>
      <c r="AA29" s="50"/>
      <c r="AB29" s="1740">
        <v>537.5</v>
      </c>
      <c r="AC29" s="52"/>
      <c r="AD29" s="2309">
        <f>'Exhibit F'!AF105+'Exhibit G'!AG96+'Exhibit I'!AI74</f>
        <v>537.5</v>
      </c>
      <c r="AE29" s="50"/>
      <c r="AF29" s="54"/>
      <c r="AG29" s="47">
        <f t="shared" si="6"/>
        <v>220</v>
      </c>
      <c r="AI29" s="45">
        <f t="shared" si="7"/>
        <v>0.40899999999999997</v>
      </c>
      <c r="AJ29" s="29"/>
      <c r="AK29" s="1"/>
      <c r="AL29" s="1"/>
    </row>
    <row r="30" spans="1:38" ht="18" customHeight="1">
      <c r="A30" s="1445" t="s">
        <v>31</v>
      </c>
      <c r="B30" s="36"/>
      <c r="C30" s="15"/>
      <c r="D30" s="2230">
        <f>+'Exhibit F'!D106</f>
        <v>13.3</v>
      </c>
      <c r="E30" s="47"/>
      <c r="F30" s="48">
        <f>+'Exhibit F'!AC106</f>
        <v>13.3</v>
      </c>
      <c r="G30" s="47"/>
      <c r="H30" s="2305">
        <f>'Exhibit G'!D97</f>
        <v>76.399999999999991</v>
      </c>
      <c r="I30" s="47"/>
      <c r="J30" s="48">
        <f>+'Exhibit G'!AD97</f>
        <v>76.400000000000006</v>
      </c>
      <c r="K30" s="47"/>
      <c r="L30" s="2225">
        <v>0</v>
      </c>
      <c r="M30" s="72"/>
      <c r="N30" s="75">
        <v>0</v>
      </c>
      <c r="O30" s="48"/>
      <c r="P30" s="2305">
        <f>'Exhibit I'!E75</f>
        <v>0.6</v>
      </c>
      <c r="Q30" s="1009"/>
      <c r="R30" s="1015">
        <f>+'Exhibit I'!AF75</f>
        <v>0.6</v>
      </c>
      <c r="S30" s="49"/>
      <c r="T30" s="49"/>
      <c r="U30" s="50"/>
      <c r="V30" s="1010">
        <f t="shared" si="4"/>
        <v>90.3</v>
      </c>
      <c r="W30" s="47" t="s">
        <v>15</v>
      </c>
      <c r="X30" s="47">
        <f t="shared" si="5"/>
        <v>90.3</v>
      </c>
      <c r="Y30" s="49"/>
      <c r="Z30" s="51"/>
      <c r="AA30" s="50"/>
      <c r="AB30" s="1740">
        <v>137</v>
      </c>
      <c r="AC30" s="52"/>
      <c r="AD30" s="2309">
        <f>'Exhibit F'!AF106+'Exhibit G'!AG97+'Exhibit I'!AI75</f>
        <v>137</v>
      </c>
      <c r="AE30" s="50"/>
      <c r="AF30" s="54"/>
      <c r="AG30" s="47">
        <f t="shared" si="6"/>
        <v>-46.7</v>
      </c>
      <c r="AI30" s="45">
        <f t="shared" si="7"/>
        <v>-0.34100000000000003</v>
      </c>
      <c r="AJ30" s="29"/>
      <c r="AK30" s="1"/>
      <c r="AL30" s="1"/>
    </row>
    <row r="31" spans="1:38" ht="18" customHeight="1">
      <c r="A31" s="1445" t="s">
        <v>32</v>
      </c>
      <c r="B31" s="15"/>
      <c r="C31" s="15"/>
      <c r="D31" s="2230">
        <f>+'Exhibit F'!D107</f>
        <v>80.8</v>
      </c>
      <c r="E31" s="47"/>
      <c r="F31" s="48">
        <f>+'Exhibit F'!AC107</f>
        <v>80.8</v>
      </c>
      <c r="G31" s="47"/>
      <c r="H31" s="2305">
        <f>'Exhibit G'!D98</f>
        <v>266.7</v>
      </c>
      <c r="I31" s="47"/>
      <c r="J31" s="48">
        <f>+'Exhibit G'!AD98</f>
        <v>266.7</v>
      </c>
      <c r="K31" s="47"/>
      <c r="L31" s="2225">
        <v>0</v>
      </c>
      <c r="M31" s="72"/>
      <c r="N31" s="75">
        <v>0</v>
      </c>
      <c r="O31" s="48"/>
      <c r="P31" s="2305">
        <f>'Exhibit I'!E76</f>
        <v>112.6</v>
      </c>
      <c r="Q31" s="1009"/>
      <c r="R31" s="1011">
        <f>+'Exhibit I'!AF76</f>
        <v>112.6</v>
      </c>
      <c r="S31" s="49"/>
      <c r="T31" s="49"/>
      <c r="U31" s="50"/>
      <c r="V31" s="1010">
        <f t="shared" si="4"/>
        <v>460.1</v>
      </c>
      <c r="W31" s="47" t="s">
        <v>15</v>
      </c>
      <c r="X31" s="47">
        <f t="shared" si="5"/>
        <v>460.1</v>
      </c>
      <c r="Y31" s="49"/>
      <c r="Z31" s="51"/>
      <c r="AA31" s="50"/>
      <c r="AB31" s="1740">
        <v>446.59999999999997</v>
      </c>
      <c r="AC31" s="52"/>
      <c r="AD31" s="2309">
        <f>'Exhibit F'!AF107+'Exhibit G'!AG98+'Exhibit I'!AI76</f>
        <v>446.6</v>
      </c>
      <c r="AE31" s="50"/>
      <c r="AF31" s="54"/>
      <c r="AG31" s="47">
        <f t="shared" si="6"/>
        <v>13.5</v>
      </c>
      <c r="AI31" s="45">
        <f t="shared" si="7"/>
        <v>0.03</v>
      </c>
      <c r="AJ31" s="29"/>
      <c r="AK31" s="1"/>
      <c r="AL31" s="1"/>
    </row>
    <row r="32" spans="1:38" ht="18" customHeight="1">
      <c r="A32" s="1445" t="s">
        <v>33</v>
      </c>
      <c r="B32" s="36"/>
      <c r="C32" s="15"/>
      <c r="D32" s="2230">
        <f>+'Exhibit F'!D108</f>
        <v>2.7</v>
      </c>
      <c r="E32" s="47"/>
      <c r="F32" s="48">
        <f>+'Exhibit F'!AC108</f>
        <v>2.7</v>
      </c>
      <c r="G32" s="47"/>
      <c r="H32" s="2305">
        <f>'Exhibit G'!D99</f>
        <v>0.1</v>
      </c>
      <c r="I32" s="47"/>
      <c r="J32" s="48">
        <f>+'Exhibit G'!AD99</f>
        <v>0.1</v>
      </c>
      <c r="K32" s="47"/>
      <c r="L32" s="2225">
        <v>0</v>
      </c>
      <c r="M32" s="72" t="s">
        <v>15</v>
      </c>
      <c r="N32" s="75">
        <v>0</v>
      </c>
      <c r="O32" s="48"/>
      <c r="P32" s="2305">
        <f>'Exhibit I'!E77</f>
        <v>109.2</v>
      </c>
      <c r="Q32" s="1009"/>
      <c r="R32" s="1011">
        <f>+'Exhibit I'!AF77</f>
        <v>109.2</v>
      </c>
      <c r="S32" s="49"/>
      <c r="T32" s="49"/>
      <c r="U32" s="50"/>
      <c r="V32" s="1010">
        <f t="shared" si="4"/>
        <v>112</v>
      </c>
      <c r="W32" s="47" t="s">
        <v>15</v>
      </c>
      <c r="X32" s="47">
        <f t="shared" si="5"/>
        <v>112</v>
      </c>
      <c r="Y32" s="49"/>
      <c r="Z32" s="51"/>
      <c r="AA32" s="50"/>
      <c r="AB32" s="1740">
        <v>165.9</v>
      </c>
      <c r="AC32" s="52"/>
      <c r="AD32" s="2309">
        <f>'Exhibit F'!AF108+'Exhibit G'!AG99+'Exhibit I'!AI77</f>
        <v>165.89999999999998</v>
      </c>
      <c r="AE32" s="50"/>
      <c r="AF32" s="54"/>
      <c r="AG32" s="47">
        <f t="shared" si="6"/>
        <v>-53.9</v>
      </c>
      <c r="AI32" s="45">
        <f t="shared" si="7"/>
        <v>-0.32500000000000001</v>
      </c>
      <c r="AJ32" s="29"/>
      <c r="AK32" s="1"/>
      <c r="AL32" s="1"/>
    </row>
    <row r="33" spans="1:38" ht="18" customHeight="1">
      <c r="A33" s="1445" t="s">
        <v>34</v>
      </c>
      <c r="B33" s="15"/>
      <c r="C33" s="15"/>
      <c r="D33" s="2230">
        <f>+'Exhibit F'!D109</f>
        <v>46.4</v>
      </c>
      <c r="E33" s="47"/>
      <c r="F33" s="48">
        <f>+'Exhibit F'!AC109</f>
        <v>46.4</v>
      </c>
      <c r="G33" s="47"/>
      <c r="H33" s="2305">
        <f>'Exhibit G'!D100</f>
        <v>192.6</v>
      </c>
      <c r="I33" s="47"/>
      <c r="J33" s="48">
        <f>+'Exhibit G'!AD100</f>
        <v>192.6</v>
      </c>
      <c r="K33" s="47"/>
      <c r="L33" s="2225">
        <v>0</v>
      </c>
      <c r="M33" s="72"/>
      <c r="N33" s="75">
        <v>0</v>
      </c>
      <c r="O33" s="48"/>
      <c r="P33" s="2305">
        <f>'Exhibit I'!E78</f>
        <v>54.3</v>
      </c>
      <c r="Q33" s="1009"/>
      <c r="R33" s="1011">
        <f>+'Exhibit I'!AF78</f>
        <v>54.3</v>
      </c>
      <c r="S33" s="49"/>
      <c r="T33" s="49"/>
      <c r="U33" s="50"/>
      <c r="V33" s="1010">
        <f>ROUND(SUM(D33)+SUM(H33)+SUM(L33)+SUM(P33),1)</f>
        <v>293.3</v>
      </c>
      <c r="W33" s="47" t="s">
        <v>15</v>
      </c>
      <c r="X33" s="47">
        <f>ROUND(SUM(F33)+SUM(J33)+SUM(N33)+SUM(R33),1)</f>
        <v>293.3</v>
      </c>
      <c r="Y33" s="49"/>
      <c r="Z33" s="51"/>
      <c r="AA33" s="50"/>
      <c r="AB33" s="1740">
        <v>285.60000000000002</v>
      </c>
      <c r="AC33" s="52"/>
      <c r="AD33" s="2309">
        <f>'Exhibit F'!AF109+'Exhibit G'!AG100+'Exhibit I'!AI78</f>
        <v>285.60000000000002</v>
      </c>
      <c r="AE33" s="50"/>
      <c r="AF33" s="54"/>
      <c r="AG33" s="47">
        <f t="shared" si="6"/>
        <v>7.7</v>
      </c>
      <c r="AI33" s="45">
        <f>ROUND(SUM((+X33-AD33)/ABS(AD33)),3)</f>
        <v>2.7E-2</v>
      </c>
      <c r="AJ33" s="29"/>
      <c r="AK33" s="1"/>
      <c r="AL33" s="1"/>
    </row>
    <row r="34" spans="1:38" ht="18" customHeight="1">
      <c r="A34" s="14" t="s">
        <v>35</v>
      </c>
      <c r="B34" s="15"/>
      <c r="C34" s="15"/>
      <c r="D34" s="63">
        <f>ROUND(SUM(D24:D33),1)</f>
        <v>3035.8</v>
      </c>
      <c r="E34" s="65"/>
      <c r="F34" s="63">
        <f>ROUND(SUM(F24:F33),1)</f>
        <v>3035.8</v>
      </c>
      <c r="G34" s="61"/>
      <c r="H34" s="63">
        <f>ROUND(SUM(H24:H33),1)</f>
        <v>4328.5</v>
      </c>
      <c r="I34" s="61"/>
      <c r="J34" s="63">
        <f>ROUND(SUM(J24:J33),1)</f>
        <v>4328.5</v>
      </c>
      <c r="K34" s="61"/>
      <c r="L34" s="63">
        <f>ROUND(SUM(L24:L33),1)</f>
        <v>0</v>
      </c>
      <c r="M34" s="2226"/>
      <c r="N34" s="2307">
        <f>ROUND(SUM(N24:N33),1)</f>
        <v>0</v>
      </c>
      <c r="O34" s="2226"/>
      <c r="P34" s="60">
        <f>ROUND(SUM(P24:P33),1)</f>
        <v>336.4</v>
      </c>
      <c r="Q34" s="61"/>
      <c r="R34" s="60">
        <f>ROUND(SUM(R24:R33),1)</f>
        <v>336.4</v>
      </c>
      <c r="S34" s="64"/>
      <c r="T34" s="64"/>
      <c r="U34" s="65"/>
      <c r="V34" s="62">
        <f>ROUND(SUM(V24:V33),1)</f>
        <v>7700.7</v>
      </c>
      <c r="W34" s="61"/>
      <c r="X34" s="62">
        <f>ROUND(SUM(X24:X33),1)</f>
        <v>7700.7</v>
      </c>
      <c r="Y34" s="64"/>
      <c r="Z34" s="66"/>
      <c r="AA34" s="65"/>
      <c r="AB34" s="1882">
        <f>ROUND(SUM(AB23:AB33),1)</f>
        <v>7304</v>
      </c>
      <c r="AC34" s="61"/>
      <c r="AD34" s="62">
        <f>ROUND(SUM(AD23:AD33),1)</f>
        <v>7304</v>
      </c>
      <c r="AE34" s="67"/>
      <c r="AF34" s="68"/>
      <c r="AG34" s="62">
        <f>ROUND(SUM(AG24:AG33),1)</f>
        <v>396.7</v>
      </c>
      <c r="AH34" s="69"/>
      <c r="AI34" s="70">
        <f>ROUND(SUM((+X34-AD34)/ABS(AD34)),3)</f>
        <v>5.3999999999999999E-2</v>
      </c>
      <c r="AJ34" s="18"/>
      <c r="AK34" s="1"/>
      <c r="AL34" s="1"/>
    </row>
    <row r="35" spans="1:38" ht="18" customHeight="1">
      <c r="A35" s="15" t="s">
        <v>36</v>
      </c>
      <c r="B35" s="79"/>
      <c r="C35" s="15"/>
      <c r="D35" s="1011"/>
      <c r="E35" s="47"/>
      <c r="F35" s="48"/>
      <c r="G35" s="47"/>
      <c r="H35" s="1011"/>
      <c r="I35" s="47"/>
      <c r="J35" s="48"/>
      <c r="K35" s="47"/>
      <c r="L35" s="1011"/>
      <c r="M35" s="48"/>
      <c r="N35" s="48"/>
      <c r="O35" s="48"/>
      <c r="P35" s="1011"/>
      <c r="Q35" s="1010"/>
      <c r="R35" s="1011"/>
      <c r="S35" s="49"/>
      <c r="T35" s="49"/>
      <c r="U35" s="50"/>
      <c r="V35" s="1010"/>
      <c r="W35" s="47"/>
      <c r="X35" s="47"/>
      <c r="Y35" s="49"/>
      <c r="Z35" s="51"/>
      <c r="AA35" s="50"/>
      <c r="AB35" s="1019"/>
      <c r="AC35" s="47"/>
      <c r="AD35" s="53"/>
      <c r="AE35" s="53"/>
      <c r="AF35" s="54"/>
      <c r="AG35" s="47"/>
      <c r="AI35" s="19"/>
      <c r="AJ35" s="29"/>
      <c r="AK35" s="1"/>
      <c r="AL35" s="1"/>
    </row>
    <row r="36" spans="1:38" ht="18" customHeight="1">
      <c r="A36" s="15" t="s">
        <v>37</v>
      </c>
      <c r="B36" s="78"/>
      <c r="C36" s="15"/>
      <c r="D36" s="1011">
        <f>+'Exhibit F'!D112</f>
        <v>667.9</v>
      </c>
      <c r="E36" s="47"/>
      <c r="F36" s="48">
        <f>+'Exhibit F'!AC112</f>
        <v>667.9</v>
      </c>
      <c r="G36" s="47"/>
      <c r="H36" s="2305">
        <f>'Exhibit G'!D103</f>
        <v>434.59999999999997</v>
      </c>
      <c r="I36" s="47"/>
      <c r="J36" s="48">
        <f>+'Exhibit G'!AD103</f>
        <v>434.6</v>
      </c>
      <c r="K36" s="47"/>
      <c r="L36" s="1016">
        <v>0</v>
      </c>
      <c r="M36" s="48"/>
      <c r="N36" s="56">
        <v>0</v>
      </c>
      <c r="O36" s="48"/>
      <c r="P36" s="1016">
        <f>'Exhibit I'!E81</f>
        <v>0</v>
      </c>
      <c r="Q36" s="1010"/>
      <c r="R36" s="1016">
        <f>+'Exhibit I'!AF81</f>
        <v>0</v>
      </c>
      <c r="S36" s="49"/>
      <c r="T36" s="49"/>
      <c r="U36" s="50"/>
      <c r="V36" s="1010">
        <f>ROUND(SUM(D36)+SUM(H36)+SUM(L36)+SUM(P36),1)</f>
        <v>1102.5</v>
      </c>
      <c r="W36" s="47" t="s">
        <v>15</v>
      </c>
      <c r="X36" s="47">
        <f>ROUND(SUM(F36)+SUM(J36)+SUM(N36)+SUM(R36),1)</f>
        <v>1102.5</v>
      </c>
      <c r="Y36" s="49"/>
      <c r="Z36" s="51"/>
      <c r="AA36" s="50"/>
      <c r="AB36" s="1740">
        <v>1100</v>
      </c>
      <c r="AC36" s="3035"/>
      <c r="AD36" s="96">
        <f>'Exhibit F'!AF112+'Exhibit G'!AG103+'Exhibit I'!AI81</f>
        <v>1100</v>
      </c>
      <c r="AE36" s="50"/>
      <c r="AF36" s="54"/>
      <c r="AG36" s="47">
        <f>ROUND(SUM(X36-AD36),1)</f>
        <v>2.5</v>
      </c>
      <c r="AI36" s="45">
        <f>ROUND(SUM((+X36-AD36)/ABS(AD36)),3)</f>
        <v>2E-3</v>
      </c>
      <c r="AJ36" s="29"/>
      <c r="AK36" s="1"/>
      <c r="AL36" s="1"/>
    </row>
    <row r="37" spans="1:38" ht="18" customHeight="1">
      <c r="A37" s="15" t="s">
        <v>38</v>
      </c>
      <c r="B37" s="79"/>
      <c r="C37" s="15"/>
      <c r="D37" s="1011">
        <f>+'Exhibit F'!D113</f>
        <v>163.69999999999999</v>
      </c>
      <c r="E37" s="47"/>
      <c r="F37" s="48">
        <f>+'Exhibit F'!AC113</f>
        <v>163.69999999999999</v>
      </c>
      <c r="G37" s="47"/>
      <c r="H37" s="2305">
        <f>'Exhibit G'!D104</f>
        <v>252.39999999999998</v>
      </c>
      <c r="I37" s="47"/>
      <c r="J37" s="48">
        <f>+'Exhibit G'!AD104</f>
        <v>252.4</v>
      </c>
      <c r="K37" s="47"/>
      <c r="L37" s="2305">
        <f>+'Exhibit H'!B52</f>
        <v>0.8</v>
      </c>
      <c r="M37" s="48"/>
      <c r="N37" s="48">
        <f>+'Exhibit H'!AA52</f>
        <v>0.8</v>
      </c>
      <c r="O37" s="48" t="s">
        <v>15</v>
      </c>
      <c r="P37" s="1016">
        <f>'Exhibit I'!E82</f>
        <v>0</v>
      </c>
      <c r="Q37" s="1010"/>
      <c r="R37" s="1016">
        <f>+'Exhibit I'!AF82</f>
        <v>0</v>
      </c>
      <c r="S37" s="49"/>
      <c r="T37" s="49"/>
      <c r="U37" s="50"/>
      <c r="V37" s="1010">
        <f>ROUND(SUM(D37)+SUM(H37)+SUM(L37)+SUM(P37),1)</f>
        <v>416.9</v>
      </c>
      <c r="W37" s="47" t="s">
        <v>15</v>
      </c>
      <c r="X37" s="47">
        <f>ROUND(SUM(F37)+SUM(J37)+SUM(N37)+SUM(R37),1)</f>
        <v>416.9</v>
      </c>
      <c r="Y37" s="49"/>
      <c r="Z37" s="51"/>
      <c r="AA37" s="50"/>
      <c r="AB37" s="1740">
        <v>368.90000000000003</v>
      </c>
      <c r="AC37" s="3035"/>
      <c r="AD37" s="96">
        <f>'Exhibit F'!AF113+'Exhibit G'!AG104+'Exhibit I'!AI82+'Exhibit H'!AD52</f>
        <v>368.9</v>
      </c>
      <c r="AE37" s="50"/>
      <c r="AF37" s="54"/>
      <c r="AG37" s="47">
        <f>ROUND(SUM(X37-AD37),1)</f>
        <v>48</v>
      </c>
      <c r="AI37" s="45">
        <f>ROUND(SUM((+X37-AD37)/ABS(AD37)),3)</f>
        <v>0.13</v>
      </c>
      <c r="AJ37" s="29"/>
      <c r="AK37" s="1"/>
      <c r="AL37" s="1"/>
    </row>
    <row r="38" spans="1:38" ht="18" customHeight="1">
      <c r="A38" s="15" t="s">
        <v>39</v>
      </c>
      <c r="B38" s="36"/>
      <c r="C38" s="15"/>
      <c r="D38" s="1011">
        <f>+'Exhibit F'!D114</f>
        <v>2706.6</v>
      </c>
      <c r="E38" s="47"/>
      <c r="F38" s="48">
        <f>+'Exhibit F'!AC114</f>
        <v>2706.6</v>
      </c>
      <c r="G38" s="82"/>
      <c r="H38" s="2305">
        <f>'Exhibit G'!D105</f>
        <v>158.9</v>
      </c>
      <c r="I38" s="47"/>
      <c r="J38" s="48">
        <f>+'Exhibit G'!AD105</f>
        <v>158.9</v>
      </c>
      <c r="K38" s="47"/>
      <c r="L38" s="1016">
        <v>0</v>
      </c>
      <c r="M38" s="48"/>
      <c r="N38" s="56">
        <v>0</v>
      </c>
      <c r="O38" s="48"/>
      <c r="P38" s="1016">
        <f>'Exhibit I'!E83</f>
        <v>0</v>
      </c>
      <c r="Q38" s="1010"/>
      <c r="R38" s="1016">
        <f>+'Exhibit I'!AF83</f>
        <v>0</v>
      </c>
      <c r="S38" s="49"/>
      <c r="T38" s="49"/>
      <c r="U38" s="50"/>
      <c r="V38" s="1010">
        <f>ROUND(SUM(D38)+SUM(H38)+SUM(L38)+SUM(P38),1)</f>
        <v>2865.5</v>
      </c>
      <c r="W38" s="47" t="s">
        <v>15</v>
      </c>
      <c r="X38" s="47">
        <f>ROUND(SUM(F38)+SUM(J38)+SUM(N38)+SUM(R38),1)</f>
        <v>2865.5</v>
      </c>
      <c r="Y38" s="49"/>
      <c r="Z38" s="51"/>
      <c r="AA38" s="50"/>
      <c r="AB38" s="1740">
        <v>2459.3000000000002</v>
      </c>
      <c r="AC38" s="52"/>
      <c r="AD38" s="96">
        <f>'Exhibit F'!AF114+'Exhibit G'!AG105+'Exhibit I'!AI83</f>
        <v>2459.2999999999997</v>
      </c>
      <c r="AE38" s="50"/>
      <c r="AF38" s="54"/>
      <c r="AG38" s="47">
        <f>ROUND(SUM(X38-AD38),1)</f>
        <v>406.2</v>
      </c>
      <c r="AI38" s="45">
        <f>ROUND(SUM((+X38-AD38)/ABS(AD38)),3)</f>
        <v>0.16500000000000001</v>
      </c>
      <c r="AJ38" s="29"/>
      <c r="AK38" s="1"/>
      <c r="AL38" s="1"/>
    </row>
    <row r="39" spans="1:38" ht="18" customHeight="1">
      <c r="A39" s="15" t="s">
        <v>40</v>
      </c>
      <c r="B39" s="15"/>
      <c r="C39" s="15"/>
      <c r="D39" s="1011"/>
      <c r="E39" s="47"/>
      <c r="F39" s="48"/>
      <c r="G39" s="47"/>
      <c r="H39" s="1011"/>
      <c r="I39" s="47"/>
      <c r="J39" s="83"/>
      <c r="K39" s="47"/>
      <c r="L39" s="1011"/>
      <c r="M39" s="48"/>
      <c r="N39" s="48"/>
      <c r="O39" s="48"/>
      <c r="P39" s="1016"/>
      <c r="Q39" s="1010"/>
      <c r="R39" s="1011"/>
      <c r="S39" s="49"/>
      <c r="T39" s="49"/>
      <c r="U39" s="50"/>
      <c r="V39" s="1010"/>
      <c r="W39" s="47"/>
      <c r="X39" s="47"/>
      <c r="Y39" s="49"/>
      <c r="Z39" s="51"/>
      <c r="AA39" s="50"/>
      <c r="AB39" s="1019"/>
      <c r="AC39" s="52"/>
      <c r="AD39" s="2309"/>
      <c r="AE39" s="50"/>
      <c r="AF39" s="54"/>
      <c r="AG39" s="47"/>
      <c r="AI39" s="45"/>
      <c r="AJ39" s="29"/>
      <c r="AK39" s="1"/>
      <c r="AL39" s="1"/>
    </row>
    <row r="40" spans="1:38" ht="18" customHeight="1">
      <c r="A40" s="15" t="s">
        <v>41</v>
      </c>
      <c r="B40" s="36"/>
      <c r="C40" s="15"/>
      <c r="D40" s="1016">
        <v>0</v>
      </c>
      <c r="E40" s="47"/>
      <c r="F40" s="56">
        <v>0</v>
      </c>
      <c r="G40" s="47"/>
      <c r="H40" s="2305">
        <v>0</v>
      </c>
      <c r="I40" s="47"/>
      <c r="J40" s="56">
        <v>0</v>
      </c>
      <c r="K40" s="47"/>
      <c r="L40" s="1011">
        <f>+'Exhibit H'!B54</f>
        <v>64.099999999999994</v>
      </c>
      <c r="M40" s="48"/>
      <c r="N40" s="48">
        <f>+'Exhibit H'!AA54</f>
        <v>64.099999999999994</v>
      </c>
      <c r="O40" s="48" t="s">
        <v>15</v>
      </c>
      <c r="P40" s="1016">
        <v>0</v>
      </c>
      <c r="Q40" s="1010"/>
      <c r="R40" s="1016">
        <v>0</v>
      </c>
      <c r="S40" s="49"/>
      <c r="T40" s="49"/>
      <c r="U40" s="50"/>
      <c r="V40" s="1010">
        <f>ROUND(SUM(D40)+SUM(H40)+SUM(L40)+SUM(P40),1)</f>
        <v>64.099999999999994</v>
      </c>
      <c r="W40" s="47" t="s">
        <v>15</v>
      </c>
      <c r="X40" s="47">
        <f>ROUND(SUM(F40)+SUM(J40)+SUM(N40)+SUM(R40),1)</f>
        <v>64.099999999999994</v>
      </c>
      <c r="Y40" s="49"/>
      <c r="Z40" s="51"/>
      <c r="AA40" s="50"/>
      <c r="AB40" s="1740">
        <v>87.2</v>
      </c>
      <c r="AC40" s="52"/>
      <c r="AD40" s="2309">
        <f>'Exhibit H'!AD54</f>
        <v>87.2</v>
      </c>
      <c r="AE40" s="50"/>
      <c r="AF40" s="54"/>
      <c r="AG40" s="47">
        <f>ROUND(SUM(X40-AD40),1)</f>
        <v>-23.1</v>
      </c>
      <c r="AI40" s="45">
        <f>ROUND(SUM((+X40-AD40)/ABS(AD40)),3)</f>
        <v>-0.26500000000000001</v>
      </c>
      <c r="AJ40" s="23"/>
      <c r="AK40" s="1"/>
      <c r="AL40" s="1"/>
    </row>
    <row r="41" spans="1:38" ht="18" customHeight="1">
      <c r="A41" s="15" t="s">
        <v>42</v>
      </c>
      <c r="B41" s="36" t="s">
        <v>1047</v>
      </c>
      <c r="C41" s="15"/>
      <c r="D41" s="2302">
        <v>0</v>
      </c>
      <c r="E41" s="47"/>
      <c r="F41" s="81">
        <v>0</v>
      </c>
      <c r="G41" s="47"/>
      <c r="H41" s="2305">
        <f>'Exhibit G'!D106</f>
        <v>0</v>
      </c>
      <c r="I41" s="47"/>
      <c r="J41" s="48">
        <f>+'Exhibit G'!AD106</f>
        <v>0</v>
      </c>
      <c r="K41" s="47"/>
      <c r="L41" s="2302">
        <v>0</v>
      </c>
      <c r="M41" s="48"/>
      <c r="N41" s="81">
        <v>0</v>
      </c>
      <c r="O41" s="48"/>
      <c r="P41" s="2305">
        <f>'Exhibit I'!E84</f>
        <v>361.2</v>
      </c>
      <c r="Q41" s="1010"/>
      <c r="R41" s="1017">
        <f>+'Exhibit I'!AF84</f>
        <v>361.2</v>
      </c>
      <c r="S41" s="49"/>
      <c r="T41" s="49"/>
      <c r="U41" s="50"/>
      <c r="V41" s="1010">
        <f>ROUND(SUM(D41)+SUM(H41)+SUM(L41)+SUM(P41),1)</f>
        <v>361.2</v>
      </c>
      <c r="W41" s="47" t="s">
        <v>15</v>
      </c>
      <c r="X41" s="47">
        <f>ROUND(SUM(F41)+SUM(J41)+SUM(N41)+SUM(R41),1)</f>
        <v>361.2</v>
      </c>
      <c r="Y41" s="49"/>
      <c r="Z41" s="51"/>
      <c r="AA41" s="50"/>
      <c r="AB41" s="1740">
        <v>350</v>
      </c>
      <c r="AC41" s="52"/>
      <c r="AD41" s="2309">
        <f>'Exhibit G'!AG106+'Exhibit I'!AI84</f>
        <v>350</v>
      </c>
      <c r="AE41" s="50"/>
      <c r="AF41" s="54"/>
      <c r="AG41" s="47">
        <f>ROUND(SUM(X41-AD41),1)</f>
        <v>11.2</v>
      </c>
      <c r="AI41" s="45">
        <f>ROUND(SUM((+X41-AD41)/ABS(AD41)),3)</f>
        <v>3.2000000000000001E-2</v>
      </c>
      <c r="AJ41" s="23"/>
      <c r="AK41" s="1"/>
      <c r="AL41" s="1"/>
    </row>
    <row r="42" spans="1:38" ht="18" customHeight="1">
      <c r="A42" s="14" t="s">
        <v>43</v>
      </c>
      <c r="B42" s="15"/>
      <c r="C42" s="15"/>
      <c r="D42" s="63">
        <f>ROUND(SUM(D34:D41),1)</f>
        <v>6574</v>
      </c>
      <c r="E42" s="61"/>
      <c r="F42" s="63">
        <f>ROUND(SUM(F34:F41),1)</f>
        <v>6574</v>
      </c>
      <c r="G42" s="61"/>
      <c r="H42" s="63">
        <f>ROUND(SUM(H34:H41),1)</f>
        <v>5174.3999999999996</v>
      </c>
      <c r="I42" s="61"/>
      <c r="J42" s="63">
        <f>ROUND(SUM(J34:J41),1)</f>
        <v>5174.3999999999996</v>
      </c>
      <c r="K42" s="61"/>
      <c r="L42" s="63">
        <f>ROUND(SUM(L34:L41),1)</f>
        <v>64.900000000000006</v>
      </c>
      <c r="M42" s="2226"/>
      <c r="N42" s="63">
        <f>ROUND(SUM(N34:N41),1)</f>
        <v>64.900000000000006</v>
      </c>
      <c r="O42" s="2226"/>
      <c r="P42" s="63">
        <f>ROUND(SUM(P34:P41),1)</f>
        <v>697.6</v>
      </c>
      <c r="Q42" s="61"/>
      <c r="R42" s="63">
        <f>ROUND(SUM(R34:R41),1)</f>
        <v>697.6</v>
      </c>
      <c r="S42" s="64"/>
      <c r="T42" s="64"/>
      <c r="U42" s="65"/>
      <c r="V42" s="62">
        <f>ROUND(SUM(V34:V41),1)</f>
        <v>12510.9</v>
      </c>
      <c r="W42" s="61"/>
      <c r="X42" s="62">
        <f>ROUND(SUM(X34:X41),1)</f>
        <v>12510.9</v>
      </c>
      <c r="Y42" s="64"/>
      <c r="Z42" s="66"/>
      <c r="AA42" s="65"/>
      <c r="AB42" s="1882">
        <f>ROUND(SUM(AB34:AB41),1)</f>
        <v>11669.4</v>
      </c>
      <c r="AC42" s="61"/>
      <c r="AD42" s="62">
        <f>ROUND(SUM(AD34:AD41),1)</f>
        <v>11669.4</v>
      </c>
      <c r="AE42" s="67"/>
      <c r="AF42" s="68"/>
      <c r="AG42" s="62">
        <f>ROUND(SUM(AG34:AG41),1)</f>
        <v>841.5</v>
      </c>
      <c r="AH42" s="69"/>
      <c r="AI42" s="70">
        <f>ROUND(SUM((+X42-AD42)/ABS(AD42)),3)</f>
        <v>7.1999999999999995E-2</v>
      </c>
      <c r="AJ42" s="18"/>
      <c r="AK42" s="1"/>
      <c r="AL42" s="1"/>
    </row>
    <row r="43" spans="1:38" ht="15.95" customHeight="1">
      <c r="A43" s="14"/>
      <c r="B43" s="15"/>
      <c r="C43" s="15"/>
      <c r="D43" s="1013"/>
      <c r="E43" s="47"/>
      <c r="F43" s="72"/>
      <c r="G43" s="47"/>
      <c r="H43" s="1013"/>
      <c r="I43" s="47"/>
      <c r="J43" s="72"/>
      <c r="K43" s="47"/>
      <c r="L43" s="1013"/>
      <c r="M43" s="48"/>
      <c r="N43" s="72"/>
      <c r="O43" s="48"/>
      <c r="P43" s="2308"/>
      <c r="Q43" s="1010"/>
      <c r="R43" s="1013"/>
      <c r="S43" s="49"/>
      <c r="T43" s="49"/>
      <c r="U43" s="50"/>
      <c r="V43" s="1012"/>
      <c r="W43" s="47"/>
      <c r="X43" s="50"/>
      <c r="Y43" s="49"/>
      <c r="Z43" s="51"/>
      <c r="AA43" s="50"/>
      <c r="AB43" s="1018" t="s">
        <v>15</v>
      </c>
      <c r="AC43" s="47"/>
      <c r="AD43" s="53"/>
      <c r="AE43" s="53"/>
      <c r="AF43" s="54"/>
      <c r="AG43" s="50"/>
      <c r="AI43" s="19"/>
      <c r="AJ43" s="29"/>
      <c r="AK43" s="1"/>
      <c r="AL43" s="1"/>
    </row>
    <row r="44" spans="1:38" ht="15.95" customHeight="1">
      <c r="A44" s="14" t="s">
        <v>44</v>
      </c>
      <c r="B44" s="14"/>
      <c r="C44" s="15"/>
      <c r="D44" s="1011"/>
      <c r="E44" s="47"/>
      <c r="F44" s="48"/>
      <c r="G44" s="47"/>
      <c r="H44" s="1011"/>
      <c r="I44" s="47"/>
      <c r="J44" s="48"/>
      <c r="K44" s="47"/>
      <c r="L44" s="1011"/>
      <c r="M44" s="48"/>
      <c r="N44" s="48"/>
      <c r="O44" s="48"/>
      <c r="P44" s="2305"/>
      <c r="Q44" s="1010"/>
      <c r="R44" s="1011"/>
      <c r="S44" s="49"/>
      <c r="T44" s="49"/>
      <c r="U44" s="50"/>
      <c r="V44" s="1010"/>
      <c r="W44" s="47"/>
      <c r="X44" s="47"/>
      <c r="Y44" s="49"/>
      <c r="Z44" s="51"/>
      <c r="AA44" s="50"/>
      <c r="AB44" s="1019"/>
      <c r="AC44" s="47"/>
      <c r="AD44" s="53"/>
      <c r="AE44" s="53"/>
      <c r="AF44" s="54"/>
      <c r="AG44" s="47"/>
      <c r="AI44" s="19"/>
      <c r="AJ44" s="29"/>
      <c r="AK44" s="1"/>
      <c r="AL44" s="1"/>
    </row>
    <row r="45" spans="1:38" ht="15.95" customHeight="1">
      <c r="A45" s="14" t="s">
        <v>45</v>
      </c>
      <c r="B45" s="14"/>
      <c r="C45" s="15"/>
      <c r="D45" s="86">
        <f>ROUND(SUM(D20-D42),1)</f>
        <v>-2484.6999999999998</v>
      </c>
      <c r="E45" s="61"/>
      <c r="F45" s="86">
        <f>ROUND(SUM(F20-F42),1)</f>
        <v>-2484.6999999999998</v>
      </c>
      <c r="G45" s="61"/>
      <c r="H45" s="86">
        <f>ROUND(SUM(H20-H42),1)</f>
        <v>278.8</v>
      </c>
      <c r="I45" s="61"/>
      <c r="J45" s="86">
        <f>ROUND(SUM(J20-J42),1)</f>
        <v>278.8</v>
      </c>
      <c r="K45" s="61"/>
      <c r="L45" s="86">
        <f>ROUND(SUM(L20-L42),1)</f>
        <v>3496.9</v>
      </c>
      <c r="M45" s="2226" t="s">
        <v>15</v>
      </c>
      <c r="N45" s="86">
        <f>ROUND(SUM(N20-N42),1)</f>
        <v>3496.9</v>
      </c>
      <c r="O45" s="2226" t="s">
        <v>15</v>
      </c>
      <c r="P45" s="87">
        <f>ROUND(SUM(P20-P42),1)</f>
        <v>-119.9</v>
      </c>
      <c r="Q45" s="61" t="s">
        <v>15</v>
      </c>
      <c r="R45" s="87">
        <f>ROUND(SUM(R20-R42),1)</f>
        <v>-119.9</v>
      </c>
      <c r="S45" s="64"/>
      <c r="T45" s="64"/>
      <c r="U45" s="65"/>
      <c r="V45" s="85">
        <f>ROUND(SUM(V20-V42),1)</f>
        <v>1171.0999999999999</v>
      </c>
      <c r="W45" s="61" t="s">
        <v>15</v>
      </c>
      <c r="X45" s="85">
        <f>ROUND(SUM(X20-X42),1)</f>
        <v>1171.0999999999999</v>
      </c>
      <c r="Y45" s="64"/>
      <c r="Z45" s="66"/>
      <c r="AA45" s="65"/>
      <c r="AB45" s="88">
        <f>ROUND(SUM(AB20-AB42),1)</f>
        <v>437.6</v>
      </c>
      <c r="AC45" s="61"/>
      <c r="AD45" s="88">
        <f>ROUND(SUM(AD20-AD42),1)</f>
        <v>437.6</v>
      </c>
      <c r="AE45" s="67"/>
      <c r="AF45" s="68"/>
      <c r="AG45" s="85">
        <f>ROUND(SUM(X45-AD45),1)</f>
        <v>733.5</v>
      </c>
      <c r="AH45" s="89"/>
      <c r="AI45" s="103">
        <f>ROUND(SUM((+X45-AD45)/ABS(AD45)),3)</f>
        <v>1.6759999999999999</v>
      </c>
      <c r="AJ45" s="18"/>
      <c r="AK45" s="1"/>
      <c r="AL45" s="1"/>
    </row>
    <row r="46" spans="1:38" ht="15.95" customHeight="1">
      <c r="A46" s="15"/>
      <c r="B46" s="15"/>
      <c r="C46" s="15"/>
      <c r="D46" s="1013"/>
      <c r="E46" s="47"/>
      <c r="F46" s="72"/>
      <c r="G46" s="47"/>
      <c r="H46" s="1013"/>
      <c r="I46" s="47"/>
      <c r="J46" s="72"/>
      <c r="K46" s="47"/>
      <c r="L46" s="1013"/>
      <c r="M46" s="48"/>
      <c r="N46" s="72"/>
      <c r="O46" s="48"/>
      <c r="P46" s="2308"/>
      <c r="Q46" s="1010"/>
      <c r="R46" s="1013"/>
      <c r="S46" s="49"/>
      <c r="T46" s="49"/>
      <c r="U46" s="50"/>
      <c r="V46" s="1012"/>
      <c r="W46" s="47"/>
      <c r="X46" s="50"/>
      <c r="Y46" s="49"/>
      <c r="Z46" s="51"/>
      <c r="AA46" s="50"/>
      <c r="AB46" s="1018"/>
      <c r="AC46" s="47"/>
      <c r="AD46" s="53"/>
      <c r="AE46" s="53"/>
      <c r="AF46" s="54"/>
      <c r="AG46" s="50"/>
      <c r="AI46" s="19"/>
      <c r="AJ46" s="29"/>
      <c r="AK46" s="1"/>
      <c r="AL46" s="1"/>
    </row>
    <row r="47" spans="1:38" ht="15.95" customHeight="1">
      <c r="A47" s="14" t="s">
        <v>46</v>
      </c>
      <c r="B47" s="14"/>
      <c r="C47" s="15"/>
      <c r="D47" s="1011"/>
      <c r="E47" s="47"/>
      <c r="F47" s="48"/>
      <c r="G47" s="47"/>
      <c r="H47" s="1011"/>
      <c r="I47" s="47"/>
      <c r="J47" s="48"/>
      <c r="K47" s="47"/>
      <c r="L47" s="1011"/>
      <c r="M47" s="48"/>
      <c r="N47" s="48"/>
      <c r="O47" s="48"/>
      <c r="P47" s="2305"/>
      <c r="Q47" s="1010"/>
      <c r="R47" s="1013"/>
      <c r="S47" s="49"/>
      <c r="T47" s="49"/>
      <c r="U47" s="50"/>
      <c r="V47" s="1010"/>
      <c r="W47" s="47"/>
      <c r="X47" s="52"/>
      <c r="Y47" s="49"/>
      <c r="Z47" s="51"/>
      <c r="AA47" s="50"/>
      <c r="AB47" s="1019"/>
      <c r="AC47" s="47"/>
      <c r="AD47" s="53"/>
      <c r="AE47" s="53"/>
      <c r="AF47" s="54"/>
      <c r="AG47" s="47"/>
      <c r="AI47" s="19"/>
      <c r="AJ47" s="29"/>
      <c r="AK47" s="1"/>
      <c r="AL47" s="1"/>
    </row>
    <row r="48" spans="1:38" ht="18" customHeight="1">
      <c r="A48" s="91" t="s">
        <v>47</v>
      </c>
      <c r="B48" s="15"/>
      <c r="C48" s="15"/>
      <c r="D48" s="2303">
        <v>0</v>
      </c>
      <c r="E48" s="47"/>
      <c r="F48" s="92">
        <v>0</v>
      </c>
      <c r="G48" s="47"/>
      <c r="H48" s="1016">
        <v>0</v>
      </c>
      <c r="I48" s="47"/>
      <c r="J48" s="56">
        <v>0</v>
      </c>
      <c r="K48" s="47"/>
      <c r="L48" s="1016">
        <v>0</v>
      </c>
      <c r="M48" s="72"/>
      <c r="N48" s="56">
        <v>0</v>
      </c>
      <c r="O48" s="72"/>
      <c r="P48" s="1016">
        <f>+'Exhibit I'!E92</f>
        <v>0</v>
      </c>
      <c r="Q48" s="1012"/>
      <c r="R48" s="1016">
        <f>'Exhibit I'!AF92</f>
        <v>0</v>
      </c>
      <c r="S48" s="49"/>
      <c r="T48" s="49"/>
      <c r="U48" s="50"/>
      <c r="V48" s="1010">
        <f>ROUND(SUM(D48)+SUM(H48)+SUM(L48)+SUM(P48),1)</f>
        <v>0</v>
      </c>
      <c r="W48" s="80"/>
      <c r="X48" s="47">
        <f>ROUND(SUM(F48)+SUM(J48)+SUM(N48)+SUM(R48),1)</f>
        <v>0</v>
      </c>
      <c r="Y48" s="49"/>
      <c r="Z48" s="51"/>
      <c r="AA48" s="50"/>
      <c r="AB48" s="1740">
        <v>0</v>
      </c>
      <c r="AC48" s="3034"/>
      <c r="AD48" s="3654">
        <f>'Exhibit I'!AI92</f>
        <v>0</v>
      </c>
      <c r="AE48" s="80"/>
      <c r="AF48" s="93"/>
      <c r="AG48" s="50">
        <f>X48-AD48</f>
        <v>0</v>
      </c>
      <c r="AH48" s="94"/>
      <c r="AI48" s="2310">
        <f>ROUND(IF(AD48=0,0,AG48/ABS(AD48)),3)</f>
        <v>0</v>
      </c>
      <c r="AJ48" s="95"/>
      <c r="AK48" s="1"/>
      <c r="AL48" s="1"/>
    </row>
    <row r="49" spans="1:40" ht="18" customHeight="1">
      <c r="A49" s="91" t="s">
        <v>48</v>
      </c>
      <c r="B49" s="2524" t="s">
        <v>1383</v>
      </c>
      <c r="C49" s="91"/>
      <c r="D49" s="1020">
        <f>+'Exhibit F'!D123+'Exhibit F'!D124+'Exhibit F'!D125+'Exhibit F'!D126</f>
        <v>3539</v>
      </c>
      <c r="E49" s="47"/>
      <c r="F49" s="48">
        <f>+'Exhibit F'!AC123+'Exhibit F'!AC124+'Exhibit F'!AC125+'Exhibit F'!AC126</f>
        <v>3539</v>
      </c>
      <c r="G49" s="52"/>
      <c r="H49" s="1020">
        <f>'Exhibit G'!D114-58.8</f>
        <v>323.09999999999997</v>
      </c>
      <c r="I49" s="52"/>
      <c r="J49" s="96">
        <f>+'Exhibit G'!AD114</f>
        <v>323.10000000000002</v>
      </c>
      <c r="K49" s="53"/>
      <c r="L49" s="2304">
        <f>+'Exhibit H'!B63</f>
        <v>226.4</v>
      </c>
      <c r="M49" s="2309"/>
      <c r="N49" s="48">
        <f>+'Exhibit H'!AA63</f>
        <v>226.4</v>
      </c>
      <c r="O49" s="2309"/>
      <c r="P49" s="2303">
        <f>'Exhibit I'!E93</f>
        <v>55.7</v>
      </c>
      <c r="Q49" s="1018"/>
      <c r="R49" s="1013">
        <f>+'Exhibit I'!AF93</f>
        <v>55.7</v>
      </c>
      <c r="S49" s="97"/>
      <c r="T49" s="97"/>
      <c r="U49" s="53"/>
      <c r="V49" s="1011">
        <f>ROUND(SUM(D49)+SUM(H49)+SUM(L49)+SUM(P49),1)</f>
        <v>4144.2</v>
      </c>
      <c r="W49" s="52" t="s">
        <v>15</v>
      </c>
      <c r="X49" s="47">
        <f>ROUND(SUM(F49)+SUM(J49)+SUM(N49)+SUM(R49),1)</f>
        <v>4144.2</v>
      </c>
      <c r="Y49" s="97"/>
      <c r="Z49" s="98"/>
      <c r="AA49" s="53"/>
      <c r="AB49" s="1740">
        <v>3449.1</v>
      </c>
      <c r="AC49" s="52"/>
      <c r="AD49" s="2309">
        <f>'Exhibit F'!AF123+'Exhibit F'!AF124+'Exhibit F'!AF125+'Exhibit F'!AF126+'Exhibit G'!AG114+'Exhibit H'!AD63+'Exhibit I'!AI93</f>
        <v>3449.1</v>
      </c>
      <c r="AE49" s="53"/>
      <c r="AF49" s="54"/>
      <c r="AG49" s="72">
        <f>ROUND(SUM(X49-AD49),1)</f>
        <v>695.1</v>
      </c>
      <c r="AH49" s="94"/>
      <c r="AI49" s="2310">
        <f>ROUND(SUM((+X49-AD49)/ABS(AD49)),3)</f>
        <v>0.20200000000000001</v>
      </c>
      <c r="AJ49" s="29"/>
      <c r="AK49" s="1"/>
      <c r="AL49" s="1"/>
    </row>
    <row r="50" spans="1:40" ht="18" customHeight="1">
      <c r="A50" s="91" t="s">
        <v>49</v>
      </c>
      <c r="B50" s="2524" t="s">
        <v>1383</v>
      </c>
      <c r="C50" s="91"/>
      <c r="D50" s="2304">
        <f>+'Exhibit F'!D127+'Exhibit F'!D130+'Exhibit F'!D131+'Exhibit F'!D129</f>
        <v>-561.79999999999995</v>
      </c>
      <c r="E50" s="52"/>
      <c r="F50" s="48">
        <f>+'Exhibit F'!AC127+'Exhibit F'!AC130+'Exhibit F'!AC131+'Exhibit F'!AC129</f>
        <v>-561.79999999999995</v>
      </c>
      <c r="G50" s="52"/>
      <c r="H50" s="1020">
        <f>'Exhibit G'!D115+58.8</f>
        <v>66.5</v>
      </c>
      <c r="I50" s="52"/>
      <c r="J50" s="96">
        <f>+'Exhibit G'!AD115</f>
        <v>66.5</v>
      </c>
      <c r="K50" s="52"/>
      <c r="L50" s="2304">
        <f>+'Exhibit H'!B64</f>
        <v>-3529.7</v>
      </c>
      <c r="M50" s="2309"/>
      <c r="N50" s="48">
        <f>+'Exhibit H'!AA64</f>
        <v>-3529.7</v>
      </c>
      <c r="O50" s="2309"/>
      <c r="P50" s="2303">
        <f>'Exhibit I'!E94</f>
        <v>-25.8</v>
      </c>
      <c r="Q50" s="1019"/>
      <c r="R50" s="1013">
        <f>+'Exhibit I'!AF94</f>
        <v>-25.8</v>
      </c>
      <c r="S50" s="97"/>
      <c r="T50" s="97"/>
      <c r="U50" s="53"/>
      <c r="V50" s="1010">
        <f>ROUND(SUM(D50)+SUM(H50)+SUM(L50)+SUM(P50),1)</f>
        <v>-4050.8</v>
      </c>
      <c r="W50" s="99" t="s">
        <v>15</v>
      </c>
      <c r="X50" s="47">
        <f>ROUND(SUM(F50)+SUM(J50)+SUM(N50)+SUM(R50),1)</f>
        <v>-4050.8</v>
      </c>
      <c r="Y50" s="97"/>
      <c r="Z50" s="98"/>
      <c r="AA50" s="53"/>
      <c r="AB50" s="1740">
        <v>-3475</v>
      </c>
      <c r="AC50" s="52"/>
      <c r="AD50" s="2309">
        <f>'Exhibit F'!AF127+'Exhibit F'!AF128+'Exhibit F'!AF129+'Exhibit F'!AF130+'Exhibit F'!AF131+'Exhibit G'!AG115+'Exhibit H'!AD64+'Exhibit I'!AI94</f>
        <v>-3475</v>
      </c>
      <c r="AE50" s="53"/>
      <c r="AF50" s="54"/>
      <c r="AG50" s="84">
        <f>ROUND(SUM(X50-AD50),1)*-1</f>
        <v>575.79999999999995</v>
      </c>
      <c r="AI50" s="2311">
        <f>-ROUND(SUM((+X50-AD50)/ABS(AD50)),3)</f>
        <v>0.16600000000000001</v>
      </c>
      <c r="AJ50" s="29"/>
      <c r="AK50" s="1"/>
      <c r="AL50" s="1"/>
    </row>
    <row r="51" spans="1:40" ht="18" customHeight="1">
      <c r="A51" s="14" t="s">
        <v>50</v>
      </c>
      <c r="B51" s="14"/>
      <c r="C51" s="15"/>
      <c r="D51" s="63">
        <f>ROUND(SUM(D48:D50),1)</f>
        <v>2977.2</v>
      </c>
      <c r="E51" s="47"/>
      <c r="F51" s="63">
        <f>ROUND(SUM(F48:F50),1)</f>
        <v>2977.2</v>
      </c>
      <c r="G51" s="61"/>
      <c r="H51" s="63">
        <f>ROUND(SUM(H48:H50),1)</f>
        <v>389.6</v>
      </c>
      <c r="I51" s="61"/>
      <c r="J51" s="63">
        <f>ROUND(SUM(J48:J50),1)</f>
        <v>389.6</v>
      </c>
      <c r="K51" s="61"/>
      <c r="L51" s="63">
        <f>ROUND(SUM(L48:L50),1)</f>
        <v>-3303.3</v>
      </c>
      <c r="M51" s="2226"/>
      <c r="N51" s="63">
        <f>ROUND(SUM(N48:N50),1)</f>
        <v>-3303.3</v>
      </c>
      <c r="O51" s="2226"/>
      <c r="P51" s="63">
        <f>ROUND(SUM(P48:P50),1)</f>
        <v>29.9</v>
      </c>
      <c r="Q51" s="61"/>
      <c r="R51" s="63">
        <f>ROUND(SUM(R48:R50),1)</f>
        <v>29.9</v>
      </c>
      <c r="S51" s="64"/>
      <c r="T51" s="64"/>
      <c r="U51" s="65"/>
      <c r="V51" s="2409">
        <f>ROUND(SUM(V48+V49+V50),1)</f>
        <v>93.4</v>
      </c>
      <c r="W51" s="61"/>
      <c r="X51" s="2409">
        <f>ROUND(SUM(+X48+X49+X50),1)</f>
        <v>93.4</v>
      </c>
      <c r="Y51" s="64"/>
      <c r="Z51" s="66"/>
      <c r="AA51" s="65"/>
      <c r="AB51" s="3213">
        <f>ROUND(SUM(+AB49+AB50),1)</f>
        <v>-25.9</v>
      </c>
      <c r="AC51" s="61"/>
      <c r="AD51" s="101">
        <f>ROUND(SUM(+AD49+AD50),1)</f>
        <v>-25.9</v>
      </c>
      <c r="AE51" s="102"/>
      <c r="AF51" s="68"/>
      <c r="AG51" s="60">
        <f>ROUND(SUM(+AG49-AG50+AG48),1)</f>
        <v>119.3</v>
      </c>
      <c r="AH51" s="69"/>
      <c r="AI51" s="2312">
        <f>ROUND(SUM(-AG51/AD51),3)</f>
        <v>4.6059999999999999</v>
      </c>
      <c r="AJ51" s="18"/>
      <c r="AK51" s="1"/>
      <c r="AL51" s="1"/>
    </row>
    <row r="52" spans="1:40" ht="15.95" customHeight="1">
      <c r="A52" s="15"/>
      <c r="B52" s="15"/>
      <c r="C52" s="15"/>
      <c r="D52" s="1012"/>
      <c r="E52" s="47"/>
      <c r="F52" s="72"/>
      <c r="G52" s="47"/>
      <c r="H52" s="1013"/>
      <c r="I52" s="47"/>
      <c r="J52" s="72"/>
      <c r="K52" s="47"/>
      <c r="L52" s="1013"/>
      <c r="M52" s="48"/>
      <c r="N52" s="72"/>
      <c r="O52" s="48"/>
      <c r="P52" s="1013"/>
      <c r="Q52" s="1010"/>
      <c r="R52" s="1013"/>
      <c r="S52" s="49"/>
      <c r="T52" s="49"/>
      <c r="U52" s="50"/>
      <c r="V52" s="1012"/>
      <c r="W52" s="47"/>
      <c r="X52" s="50"/>
      <c r="Y52" s="49"/>
      <c r="Z52" s="51"/>
      <c r="AA52" s="50"/>
      <c r="AB52" s="1018"/>
      <c r="AC52" s="47"/>
      <c r="AD52" s="53"/>
      <c r="AE52" s="53"/>
      <c r="AF52" s="54"/>
      <c r="AG52" s="50"/>
      <c r="AI52" s="2313"/>
      <c r="AJ52" s="29"/>
      <c r="AK52" s="1"/>
      <c r="AL52" s="1"/>
    </row>
    <row r="53" spans="1:40" ht="18" customHeight="1">
      <c r="A53" s="13" t="s">
        <v>44</v>
      </c>
      <c r="B53" s="14"/>
      <c r="C53" s="15"/>
      <c r="D53" s="1010"/>
      <c r="E53" s="47"/>
      <c r="F53" s="48"/>
      <c r="G53" s="47"/>
      <c r="H53" s="1011"/>
      <c r="I53" s="47"/>
      <c r="J53" s="48"/>
      <c r="K53" s="47"/>
      <c r="L53" s="1011"/>
      <c r="M53" s="48"/>
      <c r="N53" s="48"/>
      <c r="O53" s="48"/>
      <c r="P53" s="1011"/>
      <c r="Q53" s="1010"/>
      <c r="R53" s="1011"/>
      <c r="S53" s="49"/>
      <c r="T53" s="49"/>
      <c r="U53" s="50"/>
      <c r="V53" s="1010"/>
      <c r="W53" s="47"/>
      <c r="X53" s="47"/>
      <c r="Y53" s="49"/>
      <c r="Z53" s="51"/>
      <c r="AA53" s="50"/>
      <c r="AB53" s="1019"/>
      <c r="AC53" s="47"/>
      <c r="AD53" s="53"/>
      <c r="AE53" s="53"/>
      <c r="AF53" s="54"/>
      <c r="AG53" s="47"/>
      <c r="AI53" s="2314"/>
      <c r="AJ53" s="29"/>
      <c r="AK53" s="1"/>
      <c r="AL53" s="1"/>
    </row>
    <row r="54" spans="1:40" ht="18" customHeight="1">
      <c r="A54" s="13" t="s">
        <v>51</v>
      </c>
      <c r="B54" s="13"/>
      <c r="C54" s="91"/>
      <c r="D54" s="1019"/>
      <c r="E54" s="47"/>
      <c r="F54" s="48"/>
      <c r="G54" s="47"/>
      <c r="H54" s="1011"/>
      <c r="I54" s="47"/>
      <c r="J54" s="48"/>
      <c r="K54" s="47"/>
      <c r="L54" s="1011"/>
      <c r="M54" s="48"/>
      <c r="N54" s="48"/>
      <c r="O54" s="48"/>
      <c r="P54" s="1011"/>
      <c r="Q54" s="1010"/>
      <c r="R54" s="1011"/>
      <c r="S54" s="49"/>
      <c r="T54" s="49"/>
      <c r="U54" s="50"/>
      <c r="V54" s="1010" t="s">
        <v>15</v>
      </c>
      <c r="W54" s="47"/>
      <c r="X54" s="47"/>
      <c r="Y54" s="49"/>
      <c r="Z54" s="51"/>
      <c r="AA54" s="50"/>
      <c r="AB54" s="1019"/>
      <c r="AC54" s="47"/>
      <c r="AD54" s="53"/>
      <c r="AE54" s="53"/>
      <c r="AF54" s="54"/>
      <c r="AG54" s="47"/>
      <c r="AI54" s="2313"/>
      <c r="AJ54" s="29"/>
      <c r="AK54" s="1"/>
      <c r="AL54" s="1"/>
    </row>
    <row r="55" spans="1:40" ht="18" customHeight="1">
      <c r="A55" s="13" t="s">
        <v>52</v>
      </c>
      <c r="B55" s="13"/>
      <c r="C55" s="91"/>
      <c r="D55" s="105">
        <f>ROUND(SUM(D45+D51),1)</f>
        <v>492.5</v>
      </c>
      <c r="E55" s="105"/>
      <c r="F55" s="106">
        <f>ROUND(SUM(F45)+SUM(F51),1)</f>
        <v>492.5</v>
      </c>
      <c r="G55" s="105"/>
      <c r="H55" s="106">
        <f>ROUND(SUM(H45+H51),1)</f>
        <v>668.4</v>
      </c>
      <c r="I55" s="105"/>
      <c r="J55" s="106">
        <f>ROUND(SUM(J45)+SUM(J51),1)</f>
        <v>668.4</v>
      </c>
      <c r="K55" s="105"/>
      <c r="L55" s="106">
        <f>ROUND(SUM(L45+L51),1)</f>
        <v>193.6</v>
      </c>
      <c r="M55" s="106"/>
      <c r="N55" s="106">
        <f>ROUND(SUM(N45+N51),1)</f>
        <v>193.6</v>
      </c>
      <c r="O55" s="106"/>
      <c r="P55" s="106">
        <f>ROUND(SUM(P45+P51),1)</f>
        <v>-90</v>
      </c>
      <c r="Q55" s="105"/>
      <c r="R55" s="106">
        <f>ROUND(SUM(R45+R51),1)</f>
        <v>-90</v>
      </c>
      <c r="S55" s="107"/>
      <c r="T55" s="107"/>
      <c r="U55" s="67"/>
      <c r="V55" s="105">
        <f>ROUND(SUM(V45)+SUM(V51),1)</f>
        <v>1264.5</v>
      </c>
      <c r="W55" s="105"/>
      <c r="X55" s="105">
        <f>ROUND(SUM(X45)+SUM(X51),1)</f>
        <v>1264.5</v>
      </c>
      <c r="Y55" s="107"/>
      <c r="Z55" s="108"/>
      <c r="AA55" s="67"/>
      <c r="AB55" s="105">
        <f>ROUND(SUM(AB45)+SUM(AB51),1)</f>
        <v>411.7</v>
      </c>
      <c r="AC55" s="105"/>
      <c r="AD55" s="105">
        <f>ROUND(SUM(AD45)+SUM(AD51),1)</f>
        <v>411.7</v>
      </c>
      <c r="AE55" s="67"/>
      <c r="AF55" s="68"/>
      <c r="AG55" s="65">
        <f>ROUND(SUM(+AG45+AG51),1)</f>
        <v>852.8</v>
      </c>
      <c r="AH55" s="69"/>
      <c r="AI55" s="2389">
        <f>ROUND(SUM((+X55-AD55)/ABS(AD55)),3)</f>
        <v>2.0710000000000002</v>
      </c>
      <c r="AJ55" s="110"/>
      <c r="AK55" s="111"/>
      <c r="AL55" s="1"/>
    </row>
    <row r="56" spans="1:40" ht="15.95" customHeight="1">
      <c r="A56" s="14"/>
      <c r="B56" s="14"/>
      <c r="C56" s="15"/>
      <c r="D56" s="1010"/>
      <c r="E56" s="47"/>
      <c r="F56" s="72"/>
      <c r="G56" s="47"/>
      <c r="H56" s="1011"/>
      <c r="I56" s="47"/>
      <c r="J56" s="48"/>
      <c r="K56" s="47"/>
      <c r="L56" s="1020"/>
      <c r="M56" s="96"/>
      <c r="N56" s="96"/>
      <c r="O56" s="96"/>
      <c r="P56" s="2304"/>
      <c r="Q56" s="1010"/>
      <c r="R56" s="1020"/>
      <c r="S56" s="49"/>
      <c r="T56" s="49"/>
      <c r="U56" s="50"/>
      <c r="V56" s="1010"/>
      <c r="W56" s="47"/>
      <c r="X56" s="47"/>
      <c r="Y56" s="97"/>
      <c r="Z56" s="98"/>
      <c r="AA56" s="53"/>
      <c r="AB56" s="1019"/>
      <c r="AC56" s="52"/>
      <c r="AD56" s="53"/>
      <c r="AE56" s="53"/>
      <c r="AF56" s="54"/>
      <c r="AG56" s="47"/>
      <c r="AI56" s="19"/>
      <c r="AJ56" s="29"/>
      <c r="AK56" s="1"/>
      <c r="AL56" s="1"/>
    </row>
    <row r="57" spans="1:40" ht="18" customHeight="1">
      <c r="A57" s="1449" t="s">
        <v>53</v>
      </c>
      <c r="B57" s="36"/>
      <c r="C57" s="15"/>
      <c r="D57" s="2749">
        <f>+'Exhibit F'!D14</f>
        <v>9445</v>
      </c>
      <c r="E57" s="105"/>
      <c r="F57" s="2749">
        <f>'Exhibit F'!D14</f>
        <v>9445</v>
      </c>
      <c r="G57" s="105"/>
      <c r="H57" s="2749">
        <f>+'Exhibit G'!D14</f>
        <v>4302.1000000000004</v>
      </c>
      <c r="I57" s="105"/>
      <c r="J57" s="2749">
        <f>'Exhibit G'!D14</f>
        <v>4302.1000000000004</v>
      </c>
      <c r="K57" s="105"/>
      <c r="L57" s="2749">
        <f>'Exhibit H'!B12</f>
        <v>153.1</v>
      </c>
      <c r="M57" s="106"/>
      <c r="N57" s="2749">
        <f>'Exhibit H'!B12</f>
        <v>153.1</v>
      </c>
      <c r="O57" s="2371"/>
      <c r="P57" s="2749">
        <f>+'Exhibit I'!E15</f>
        <v>-1151.1999999999998</v>
      </c>
      <c r="Q57" s="67"/>
      <c r="R57" s="2749">
        <f>'Exhibit I'!E15</f>
        <v>-1151.1999999999998</v>
      </c>
      <c r="S57" s="64"/>
      <c r="T57" s="64"/>
      <c r="U57" s="65"/>
      <c r="V57" s="2749">
        <f>D57+H57+L57+P57</f>
        <v>12749</v>
      </c>
      <c r="W57" s="105"/>
      <c r="X57" s="2749">
        <f>F57+J57+N57+R57</f>
        <v>12749</v>
      </c>
      <c r="Y57" s="64"/>
      <c r="Z57" s="66"/>
      <c r="AA57" s="65"/>
      <c r="AB57" s="309">
        <v>11104.7</v>
      </c>
      <c r="AC57" s="105"/>
      <c r="AD57" s="2749">
        <f>'Exhibit F'!AF14+'Exhibit G'!AG14+'Exhibit H'!AD12+'Exhibit I'!AI15</f>
        <v>11104.699999999999</v>
      </c>
      <c r="AE57" s="67"/>
      <c r="AF57" s="68"/>
      <c r="AG57" s="85">
        <f>ROUND(SUM(X57-AD57),1)</f>
        <v>1644.3</v>
      </c>
      <c r="AH57" s="69"/>
      <c r="AI57" s="90">
        <f>ROUND(SUM((+X57-AD57)/ABS(AD57)),3)</f>
        <v>0.14799999999999999</v>
      </c>
      <c r="AJ57" s="18"/>
      <c r="AK57" s="1"/>
      <c r="AL57" s="1"/>
    </row>
    <row r="58" spans="1:40" ht="15.95" customHeight="1">
      <c r="A58" s="91"/>
      <c r="B58" s="15"/>
      <c r="C58" s="15"/>
      <c r="D58" s="1018"/>
      <c r="E58" s="47"/>
      <c r="F58" s="72"/>
      <c r="G58" s="47"/>
      <c r="H58" s="1012"/>
      <c r="I58" s="47"/>
      <c r="J58" s="72"/>
      <c r="K58" s="47"/>
      <c r="L58" s="1018"/>
      <c r="M58" s="47"/>
      <c r="N58" s="72"/>
      <c r="O58" s="47"/>
      <c r="P58" s="1012"/>
      <c r="Q58" s="1010"/>
      <c r="R58" s="1013"/>
      <c r="S58" s="49"/>
      <c r="T58" s="49"/>
      <c r="U58" s="50"/>
      <c r="V58" s="1012"/>
      <c r="W58" s="47"/>
      <c r="X58" s="50"/>
      <c r="Y58" s="49"/>
      <c r="Z58" s="51"/>
      <c r="AA58" s="50"/>
      <c r="AB58" s="1018"/>
      <c r="AC58" s="47"/>
      <c r="AD58" s="53"/>
      <c r="AE58" s="53"/>
      <c r="AF58" s="54"/>
      <c r="AG58" s="50"/>
      <c r="AI58" s="19"/>
      <c r="AJ58" s="29"/>
      <c r="AK58" s="1"/>
      <c r="AL58" s="1"/>
    </row>
    <row r="59" spans="1:40" ht="18" customHeight="1" thickBot="1">
      <c r="A59" s="1450" t="s">
        <v>54</v>
      </c>
      <c r="B59" s="112"/>
      <c r="C59" s="113"/>
      <c r="D59" s="116">
        <f>ROUND(SUM(D55+D57),1)</f>
        <v>9937.5</v>
      </c>
      <c r="E59" s="115"/>
      <c r="F59" s="116">
        <f>ROUND(SUM(F55+F57),1)</f>
        <v>9937.5</v>
      </c>
      <c r="G59" s="115"/>
      <c r="H59" s="114">
        <f>ROUND(SUM(H55+H57),1)</f>
        <v>4970.5</v>
      </c>
      <c r="I59" s="115"/>
      <c r="J59" s="116">
        <f>ROUND(SUM(J55)+SUM(J57),1)</f>
        <v>4970.5</v>
      </c>
      <c r="K59" s="115"/>
      <c r="L59" s="114">
        <f>ROUND(SUM(L55+L57),1)</f>
        <v>346.7</v>
      </c>
      <c r="M59" s="115"/>
      <c r="N59" s="116">
        <f>ROUND(SUM(N55+N57),1)</f>
        <v>346.7</v>
      </c>
      <c r="O59" s="115"/>
      <c r="P59" s="114">
        <f>ROUND(SUM(P55+P57),1)</f>
        <v>-1241.2</v>
      </c>
      <c r="Q59" s="115"/>
      <c r="R59" s="116">
        <f>ROUND(SUM(R55+R57),1)</f>
        <v>-1241.2</v>
      </c>
      <c r="S59" s="117"/>
      <c r="T59" s="117"/>
      <c r="U59" s="118"/>
      <c r="V59" s="114">
        <f>ROUND(SUM(V55+V57),1)</f>
        <v>14013.5</v>
      </c>
      <c r="W59" s="115"/>
      <c r="X59" s="114">
        <f>ROUND(SUM(X55+X57),1)</f>
        <v>14013.5</v>
      </c>
      <c r="Y59" s="117"/>
      <c r="Z59" s="119"/>
      <c r="AA59" s="118"/>
      <c r="AB59" s="114">
        <f>ROUND(SUM(AB55+AB57),1)</f>
        <v>11516.4</v>
      </c>
      <c r="AC59" s="115"/>
      <c r="AD59" s="114">
        <f>ROUND(SUM(AD55+AD57),1)</f>
        <v>11516.4</v>
      </c>
      <c r="AE59" s="118"/>
      <c r="AF59" s="120"/>
      <c r="AG59" s="121">
        <f>ROUND(SUM(AG55+AG57),1)</f>
        <v>2497.1</v>
      </c>
      <c r="AH59" s="69"/>
      <c r="AI59" s="122">
        <f>ROUND(SUM((+X59-AD59)/ABS(AD59)),3)</f>
        <v>0.217</v>
      </c>
      <c r="AJ59" s="123"/>
      <c r="AK59" s="111"/>
      <c r="AL59" s="111"/>
      <c r="AM59" s="124"/>
      <c r="AN59" s="69"/>
    </row>
    <row r="60" spans="1:40" ht="15.75" thickTop="1">
      <c r="A60" s="125"/>
      <c r="B60" s="125"/>
      <c r="C60" s="125"/>
      <c r="D60" s="1046"/>
      <c r="E60" s="126"/>
      <c r="F60" s="126"/>
      <c r="G60" s="126"/>
      <c r="H60" s="1046"/>
      <c r="I60" s="126"/>
      <c r="J60" s="126"/>
      <c r="K60" s="126"/>
      <c r="L60" s="1046"/>
      <c r="M60" s="126"/>
      <c r="N60" s="126"/>
      <c r="O60" s="126"/>
      <c r="P60" s="126"/>
      <c r="Q60" s="126"/>
      <c r="R60" s="126"/>
      <c r="S60" s="126"/>
      <c r="T60" s="126"/>
      <c r="U60" s="126"/>
      <c r="V60" s="1046"/>
      <c r="W60" s="126"/>
      <c r="X60" s="126"/>
      <c r="Y60" s="126"/>
      <c r="Z60" s="126"/>
      <c r="AA60" s="126"/>
      <c r="AB60" s="3214"/>
      <c r="AC60" s="127"/>
      <c r="AD60" s="128"/>
      <c r="AE60" s="128"/>
      <c r="AF60" s="126"/>
      <c r="AG60" s="126"/>
      <c r="AI60" s="129"/>
      <c r="AJ60" s="19"/>
      <c r="AK60" s="1"/>
      <c r="AL60" s="1"/>
    </row>
    <row r="61" spans="1:40" ht="15.75">
      <c r="A61" s="130"/>
      <c r="B61" s="89"/>
      <c r="C61" s="89"/>
      <c r="D61" s="1047"/>
      <c r="E61" s="94"/>
      <c r="F61" s="94"/>
      <c r="G61" s="94"/>
      <c r="H61" s="1047"/>
      <c r="I61" s="94"/>
      <c r="J61" s="94"/>
      <c r="K61" s="94"/>
      <c r="L61" s="1047"/>
      <c r="M61" s="94"/>
      <c r="N61" s="94"/>
      <c r="O61" s="94"/>
      <c r="P61" s="130" t="s">
        <v>15</v>
      </c>
      <c r="Q61" s="94"/>
      <c r="R61" s="94"/>
      <c r="S61" s="94"/>
      <c r="T61" s="94"/>
      <c r="U61" s="94"/>
      <c r="V61" s="1047"/>
      <c r="W61" s="94"/>
      <c r="X61" s="94"/>
      <c r="Y61" s="94"/>
      <c r="Z61" s="94"/>
      <c r="AA61" s="94"/>
      <c r="AB61" s="3215"/>
      <c r="AC61" s="94"/>
      <c r="AI61" s="129"/>
      <c r="AJ61" s="19"/>
      <c r="AK61" s="1"/>
      <c r="AL61" s="1"/>
    </row>
    <row r="62" spans="1:40" ht="15">
      <c r="A62" s="94"/>
      <c r="B62" s="94"/>
      <c r="C62" s="94"/>
      <c r="D62" s="1047"/>
      <c r="E62" s="94"/>
      <c r="F62" s="94"/>
      <c r="G62" s="94"/>
      <c r="H62" s="1047"/>
      <c r="I62" s="94"/>
      <c r="J62" s="94"/>
      <c r="K62" s="94"/>
      <c r="L62" s="1047"/>
      <c r="M62" s="94"/>
      <c r="N62" s="94"/>
      <c r="O62" s="94"/>
      <c r="P62" s="94" t="s">
        <v>15</v>
      </c>
      <c r="Q62" s="94"/>
      <c r="R62" s="94"/>
      <c r="S62" s="94"/>
      <c r="T62" s="94"/>
      <c r="U62" s="94"/>
      <c r="V62" s="1047"/>
      <c r="W62" s="94"/>
      <c r="X62" s="94"/>
      <c r="Y62" s="94"/>
      <c r="Z62" s="94"/>
      <c r="AA62" s="94"/>
      <c r="AB62" s="3445"/>
      <c r="AC62" s="94"/>
      <c r="AD62" s="2408"/>
      <c r="AI62" s="129"/>
      <c r="AJ62" s="19"/>
      <c r="AK62" s="1"/>
      <c r="AL62" s="1"/>
    </row>
    <row r="63" spans="1:40" ht="15">
      <c r="A63" s="94"/>
      <c r="B63" s="94"/>
      <c r="C63" s="94"/>
      <c r="D63" s="1047"/>
      <c r="E63" s="94"/>
      <c r="F63" s="94"/>
      <c r="G63" s="94"/>
      <c r="H63" s="1047"/>
      <c r="I63" s="94"/>
      <c r="J63" s="94"/>
      <c r="K63" s="94"/>
      <c r="L63" s="1047"/>
      <c r="M63" s="94"/>
      <c r="N63" s="94"/>
      <c r="O63" s="94"/>
      <c r="P63" s="94" t="s">
        <v>15</v>
      </c>
      <c r="Q63" s="94"/>
      <c r="R63" s="94"/>
      <c r="S63" s="94"/>
      <c r="T63" s="94"/>
      <c r="U63" s="94"/>
      <c r="V63" s="1047"/>
      <c r="W63" s="94"/>
      <c r="X63" s="94"/>
      <c r="Y63" s="94"/>
      <c r="Z63" s="94"/>
      <c r="AA63" s="94"/>
      <c r="AB63" s="3445"/>
      <c r="AC63" s="94"/>
      <c r="AI63" s="132"/>
      <c r="AJ63" s="19"/>
      <c r="AK63" s="1"/>
      <c r="AL63" s="1"/>
    </row>
    <row r="64" spans="1:40" ht="15.75">
      <c r="A64" s="133"/>
      <c r="B64" s="94"/>
      <c r="C64" s="94"/>
      <c r="D64" s="1047"/>
      <c r="E64" s="94"/>
      <c r="F64" s="94"/>
      <c r="G64" s="94"/>
      <c r="H64" s="1047"/>
      <c r="I64" s="94"/>
      <c r="J64" s="94"/>
      <c r="K64" s="94"/>
      <c r="L64" s="1047"/>
      <c r="M64" s="94"/>
      <c r="N64" s="94"/>
      <c r="O64" s="94"/>
      <c r="P64" s="94"/>
      <c r="Q64" s="94"/>
      <c r="R64" s="94"/>
      <c r="S64" s="94"/>
      <c r="T64" s="94"/>
      <c r="U64" s="94"/>
      <c r="V64" s="1047"/>
      <c r="W64" s="94"/>
      <c r="X64" s="94"/>
      <c r="Y64" s="94"/>
      <c r="Z64" s="94"/>
      <c r="AA64" s="94"/>
      <c r="AB64" s="3215"/>
      <c r="AC64" s="94"/>
      <c r="AI64" s="132"/>
      <c r="AJ64" s="1"/>
      <c r="AK64" s="1"/>
      <c r="AL64" s="1"/>
    </row>
    <row r="65" spans="1:38" ht="15.75">
      <c r="A65" s="133"/>
      <c r="B65" s="94"/>
      <c r="C65" s="94"/>
      <c r="D65" s="1047"/>
      <c r="E65" s="94"/>
      <c r="F65" s="94"/>
      <c r="G65" s="94"/>
      <c r="H65" s="1047"/>
      <c r="I65" s="94"/>
      <c r="J65" s="94"/>
      <c r="K65" s="94"/>
      <c r="L65" s="1047"/>
      <c r="M65" s="94"/>
      <c r="N65" s="94"/>
      <c r="O65" s="94"/>
      <c r="P65" s="94"/>
      <c r="Q65" s="94"/>
      <c r="R65" s="94"/>
      <c r="S65" s="94"/>
      <c r="T65" s="94"/>
      <c r="U65" s="94"/>
      <c r="V65" s="1047"/>
      <c r="W65" s="94"/>
      <c r="X65" s="94"/>
      <c r="Y65" s="94"/>
      <c r="Z65" s="94"/>
      <c r="AA65" s="94"/>
      <c r="AB65" s="3445"/>
      <c r="AC65" s="94"/>
      <c r="AI65" s="132"/>
      <c r="AJ65" s="1" t="s">
        <v>15</v>
      </c>
      <c r="AK65" s="1"/>
      <c r="AL65" s="1"/>
    </row>
    <row r="66" spans="1:38" ht="15.75">
      <c r="A66" s="134"/>
      <c r="B66" s="135"/>
      <c r="C66" s="130"/>
      <c r="D66" s="1050"/>
      <c r="E66" s="35"/>
      <c r="F66" s="35"/>
      <c r="G66" s="35"/>
      <c r="H66" s="1050"/>
      <c r="I66" s="35"/>
      <c r="J66" s="35"/>
      <c r="K66" s="35"/>
      <c r="L66" s="1050"/>
      <c r="M66" s="94"/>
      <c r="N66" s="94"/>
      <c r="O66" s="94"/>
      <c r="P66" s="94"/>
      <c r="Q66" s="94"/>
      <c r="R66" s="94"/>
      <c r="S66" s="94"/>
      <c r="T66" s="94"/>
      <c r="U66" s="94"/>
      <c r="V66" s="1047"/>
      <c r="W66" s="94"/>
      <c r="X66" s="94"/>
      <c r="Y66" s="94"/>
      <c r="Z66" s="94"/>
      <c r="AA66" s="94"/>
      <c r="AB66" s="3215"/>
      <c r="AC66" s="94"/>
      <c r="AI66" s="132"/>
      <c r="AJ66" s="1"/>
      <c r="AK66" s="1"/>
      <c r="AL66" s="1"/>
    </row>
    <row r="67" spans="1:38" ht="15">
      <c r="A67" s="19"/>
      <c r="B67" s="19"/>
      <c r="C67" s="19"/>
      <c r="D67" s="1051"/>
      <c r="E67" s="19"/>
      <c r="F67" s="19"/>
      <c r="G67" s="19"/>
      <c r="H67" s="1051"/>
      <c r="I67" s="19"/>
      <c r="J67" s="19"/>
      <c r="K67" s="19"/>
      <c r="L67" s="1051"/>
      <c r="M67" s="94"/>
      <c r="N67" s="94"/>
      <c r="O67" s="94"/>
      <c r="P67" s="94"/>
      <c r="Q67" s="94"/>
      <c r="R67" s="94"/>
      <c r="S67" s="94"/>
      <c r="T67" s="94"/>
      <c r="U67" s="94"/>
      <c r="V67" s="1047"/>
      <c r="W67" s="94"/>
      <c r="X67" s="94"/>
      <c r="Y67" s="94"/>
      <c r="Z67" s="94"/>
      <c r="AA67" s="94"/>
      <c r="AB67" s="3215"/>
      <c r="AC67" s="94"/>
      <c r="AI67" s="132"/>
      <c r="AJ67" s="1"/>
      <c r="AK67" s="1"/>
      <c r="AL67" s="1"/>
    </row>
    <row r="68" spans="1:38" ht="15">
      <c r="A68" s="19"/>
      <c r="B68" s="19"/>
      <c r="C68" s="19"/>
      <c r="D68" s="1051"/>
      <c r="E68" s="19"/>
      <c r="F68" s="19"/>
      <c r="G68" s="19"/>
      <c r="H68" s="1051"/>
      <c r="I68" s="19"/>
      <c r="J68" s="19"/>
      <c r="K68" s="19"/>
      <c r="L68" s="1051"/>
      <c r="M68" s="94"/>
      <c r="N68" s="94"/>
      <c r="O68" s="94"/>
      <c r="P68" s="94"/>
      <c r="Q68" s="94"/>
      <c r="R68" s="94"/>
      <c r="S68" s="94"/>
      <c r="T68" s="94"/>
      <c r="U68" s="94"/>
      <c r="V68" s="1047"/>
      <c r="W68" s="94"/>
      <c r="X68" s="94"/>
      <c r="Y68" s="94"/>
      <c r="Z68" s="94"/>
      <c r="AA68" s="94"/>
      <c r="AB68" s="3215"/>
      <c r="AC68" s="94"/>
      <c r="AI68" s="132"/>
      <c r="AJ68" s="1"/>
      <c r="AK68" s="1"/>
      <c r="AL68" s="1"/>
    </row>
    <row r="69" spans="1:38" ht="15">
      <c r="A69" s="19"/>
      <c r="B69" s="19"/>
      <c r="C69" s="19"/>
      <c r="D69" s="1051"/>
      <c r="E69" s="19"/>
      <c r="F69" s="19"/>
      <c r="G69" s="19"/>
      <c r="H69" s="1051"/>
      <c r="I69" s="19"/>
      <c r="J69" s="19"/>
      <c r="K69" s="19"/>
      <c r="L69" s="1051"/>
      <c r="M69" s="94"/>
      <c r="N69" s="94"/>
      <c r="O69" s="94"/>
      <c r="P69" s="94"/>
      <c r="Q69" s="94"/>
      <c r="R69" s="94"/>
      <c r="S69" s="94"/>
      <c r="T69" s="94"/>
      <c r="U69" s="94"/>
      <c r="V69" s="1047"/>
      <c r="W69" s="94"/>
      <c r="X69" s="94"/>
      <c r="Y69" s="94"/>
      <c r="Z69" s="94"/>
      <c r="AA69" s="94"/>
      <c r="AB69" s="3215"/>
      <c r="AI69" s="132"/>
      <c r="AJ69" s="1"/>
      <c r="AK69" s="1"/>
      <c r="AL69" s="1"/>
    </row>
    <row r="70" spans="1:38" ht="15">
      <c r="AI70" s="132"/>
      <c r="AJ70" s="1"/>
      <c r="AK70" s="1"/>
      <c r="AL70" s="1"/>
    </row>
    <row r="71" spans="1:38" ht="15">
      <c r="AI71" s="132"/>
      <c r="AJ71" s="1"/>
      <c r="AK71" s="1"/>
      <c r="AL71" s="1"/>
    </row>
    <row r="72" spans="1:38" ht="15">
      <c r="AI72" s="132"/>
      <c r="AJ72" s="1"/>
      <c r="AK72" s="1"/>
      <c r="AL72" s="1"/>
    </row>
    <row r="73" spans="1:38" ht="15">
      <c r="AI73" s="132"/>
      <c r="AJ73" s="1"/>
      <c r="AK73" s="1"/>
      <c r="AL73" s="1"/>
    </row>
    <row r="74" spans="1:38" ht="15">
      <c r="AI74" s="132"/>
      <c r="AJ74" s="1"/>
      <c r="AK74" s="1"/>
      <c r="AL74" s="1"/>
    </row>
    <row r="75" spans="1:38" ht="15">
      <c r="AI75" s="132"/>
      <c r="AJ75" s="1"/>
      <c r="AK75" s="1"/>
      <c r="AL75" s="1"/>
    </row>
    <row r="76" spans="1:38" ht="15">
      <c r="AI76" s="132"/>
      <c r="AJ76" s="1"/>
      <c r="AK76" s="1"/>
      <c r="AL76" s="1"/>
    </row>
    <row r="77" spans="1:38" ht="15">
      <c r="AI77" s="132"/>
      <c r="AJ77" s="1"/>
      <c r="AK77" s="1"/>
      <c r="AL77" s="1"/>
    </row>
    <row r="78" spans="1:38" ht="15">
      <c r="AI78" s="132"/>
      <c r="AJ78" s="1"/>
      <c r="AK78" s="1"/>
      <c r="AL78" s="1"/>
    </row>
    <row r="79" spans="1:38" ht="15">
      <c r="AI79" s="132"/>
      <c r="AJ79" s="1"/>
      <c r="AK79" s="1"/>
      <c r="AL79" s="1"/>
    </row>
    <row r="80" spans="1:38" ht="15">
      <c r="AI80" s="132"/>
      <c r="AJ80" s="1"/>
      <c r="AK80" s="1"/>
      <c r="AL80" s="1"/>
    </row>
    <row r="81" spans="35:38" ht="15">
      <c r="AI81" s="132"/>
      <c r="AJ81" s="1"/>
      <c r="AK81" s="1"/>
      <c r="AL81" s="1"/>
    </row>
    <row r="82" spans="35:38" ht="15">
      <c r="AI82" s="132"/>
      <c r="AJ82" s="1"/>
      <c r="AK82" s="1"/>
      <c r="AL82" s="1"/>
    </row>
    <row r="83" spans="35:38" ht="15">
      <c r="AI83" s="132"/>
      <c r="AJ83" s="1"/>
      <c r="AK83" s="1"/>
      <c r="AL83" s="1"/>
    </row>
    <row r="84" spans="35:38" ht="15">
      <c r="AI84" s="132"/>
      <c r="AJ84" s="1"/>
      <c r="AK84" s="1"/>
      <c r="AL84" s="1"/>
    </row>
    <row r="85" spans="35:38" ht="15">
      <c r="AI85" s="132"/>
      <c r="AJ85" s="1"/>
      <c r="AK85" s="1"/>
      <c r="AL85" s="1"/>
    </row>
    <row r="86" spans="35:38" ht="15">
      <c r="AI86" s="132"/>
      <c r="AJ86" s="1"/>
      <c r="AK86" s="1"/>
      <c r="AL86" s="1"/>
    </row>
    <row r="87" spans="35:38" ht="15">
      <c r="AI87" s="132"/>
      <c r="AJ87" s="1"/>
      <c r="AK87" s="1"/>
      <c r="AL87" s="1"/>
    </row>
    <row r="88" spans="35:38" ht="15">
      <c r="AI88" s="132"/>
      <c r="AJ88" s="1"/>
      <c r="AK88" s="1"/>
      <c r="AL88" s="1"/>
    </row>
    <row r="89" spans="35:38" ht="15">
      <c r="AI89" s="132"/>
      <c r="AJ89" s="1"/>
      <c r="AK89" s="1"/>
      <c r="AL89" s="1"/>
    </row>
    <row r="90" spans="35:38" ht="15">
      <c r="AI90" s="132"/>
      <c r="AJ90" s="1"/>
      <c r="AK90" s="1"/>
      <c r="AL90" s="1"/>
    </row>
    <row r="91" spans="35:38" ht="15">
      <c r="AI91" s="132"/>
      <c r="AJ91" s="1"/>
      <c r="AK91" s="1"/>
      <c r="AL91" s="1"/>
    </row>
    <row r="92" spans="35:38" ht="15">
      <c r="AI92" s="132"/>
      <c r="AJ92" s="1"/>
      <c r="AK92" s="1"/>
      <c r="AL92" s="1"/>
    </row>
    <row r="93" spans="35:38" ht="15">
      <c r="AI93" s="132"/>
      <c r="AJ93" s="1"/>
      <c r="AK93" s="1"/>
      <c r="AL93" s="1"/>
    </row>
    <row r="94" spans="35:38" ht="15">
      <c r="AI94" s="132"/>
      <c r="AJ94" s="1"/>
      <c r="AK94" s="1"/>
      <c r="AL94" s="1"/>
    </row>
    <row r="95" spans="35:38" ht="15">
      <c r="AI95" s="132"/>
      <c r="AJ95" s="1"/>
      <c r="AK95" s="1"/>
      <c r="AL95" s="1"/>
    </row>
    <row r="96" spans="35:38" ht="15">
      <c r="AI96" s="132"/>
      <c r="AJ96" s="1"/>
      <c r="AK96" s="1"/>
      <c r="AL96" s="1"/>
    </row>
    <row r="97" spans="35:38" ht="15">
      <c r="AI97" s="132"/>
      <c r="AJ97" s="1"/>
      <c r="AK97" s="1"/>
      <c r="AL97" s="1"/>
    </row>
    <row r="98" spans="35:38" ht="15">
      <c r="AI98" s="132"/>
      <c r="AJ98" s="1"/>
      <c r="AK98" s="1"/>
      <c r="AL98" s="1"/>
    </row>
    <row r="99" spans="35:38" ht="15">
      <c r="AI99" s="132"/>
      <c r="AJ99" s="1"/>
      <c r="AK99" s="1"/>
      <c r="AL99" s="1"/>
    </row>
    <row r="100" spans="35:38" ht="15">
      <c r="AI100" s="132"/>
      <c r="AJ100" s="1"/>
      <c r="AK100" s="1"/>
      <c r="AL100" s="1"/>
    </row>
    <row r="101" spans="35:38" ht="15">
      <c r="AI101" s="132"/>
      <c r="AJ101" s="1"/>
      <c r="AK101" s="1"/>
      <c r="AL101" s="1"/>
    </row>
    <row r="102" spans="35:38" ht="15">
      <c r="AI102" s="132"/>
      <c r="AJ102" s="1"/>
      <c r="AK102" s="1"/>
      <c r="AL102" s="1"/>
    </row>
    <row r="103" spans="35:38" ht="15">
      <c r="AI103" s="132"/>
      <c r="AJ103" s="1"/>
      <c r="AK103" s="1"/>
      <c r="AL103" s="1"/>
    </row>
    <row r="104" spans="35:38" ht="15">
      <c r="AI104" s="132"/>
      <c r="AJ104" s="1"/>
      <c r="AK104" s="1"/>
      <c r="AL104" s="1"/>
    </row>
    <row r="105" spans="35:38" ht="15">
      <c r="AI105" s="132"/>
      <c r="AJ105" s="1"/>
      <c r="AK105" s="1"/>
      <c r="AL105" s="1"/>
    </row>
    <row r="106" spans="35:38" ht="15">
      <c r="AI106" s="132"/>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H20 S59:AH59 S55:AH55 S51:U51 S45:AG45 S42:AD42 S34:AH34 S20:AF20 S56:AI56 S52:AI54 S46:AI47 S43:AI44 S21:AI23 S35:AI35 G12 AE14:AG14 AE19:AH19 AE24:AH24 AE25:AH25 AE26:AH26 AE28:AH28 AE29:AH29 AE30:AH30 AE31:AH31 AE32:AH32 S39:AA39 AE36:AH36 AE37:AH37 AE38:AH38 AE40:AH40 W14 S58:AI58 AE49:AF49 S14:U14 S40:AA40 S15:U15 S16:AA16 S18:AA18 S19:AA19 S24:AA24 S25:AA25 S26:AA26 S29:AA29 S31:AA31 S32:AA32 S33:AA33 S41:AA41 S49:U49 S50:AA50 S57:U57 S27:AA27 S28:AA28 S30:AA30 S36:AA36 S38:AA38 S37:AA37 S48:AA48 R17:AA17 F49 E17:G17 E16:G16 E15:G15 E27:G27 E34 E14:G14 E19:G19 E18 E28 I19:K19 I14 O45 M45 O42 M42 O34 M34 O20 M20 K45 I45 H46:P47 E45 D46:F48 K42 I42 H43:K44 K34 I34 K20 I20 I21:P23 E42 D43:F44 E35:F35 I27:P27 I24:O24 I25:O25 I35:P35 D20:G20 E25:G25 E26:G26 E24:G24 D42 G35:G41 F34:G34 D45 G43:G44 F42:H42 D21:G23 J20 J34 J42 G46:G49 F45:H45 J45 N20 N34 P34 N42 N45 P45 I50:K50 H48:O48 I15 I16 I17 I18:K18 I26:O26 I33:O33 I28:O28 I29:O29 I30:O30 I31:O31 I32:O32 I39:K39 I36:O36 I37:K37 I38:K38 I41:K41 I40:K40 I49:K49 D39:F41 E36:F36 E37:F37 E38:F38 E50 E49 M14 M15 M17 M18:O18 M19:O19 M37:O37 M40:O40 M49:O49 M50:O50 Q17 Q48:R48 Q37:R37 Q38:R38 Q36:R36 Q30:R30 Q28:R28 Q27:R27 Q50:R50 Q49:R49 Q41:R41 Q33:R33 Q32:R32 Q31:R31 Q29:R29 Q26:R26 Q25:R25 Q24:R24 Q19:R19 Q18:R18 Q16 Q15 O57 Q40:R40 Q14:R14 D58:F58 H58:R58 Q39:R39 R59 R55 R51 R45 R42 R34 P59 N59 P55 N55 N51 L59 J59 J55 J51 G59:H59 G55 G56:G58 F51:H51 G52:G54 D55 Q35:R35 D52:F54 E51 D56:F56 E55 E59 Q21:R23 Q43:R44 Q46:R47 H52:R54 I51 K51 H56:R56 I55 K55 I59 K59 M51 O51 M55 O55 M59 O59 Q20 Q34 Q42 Q45 Q51 Q55 Q59 E30 E32:G33 F59 E29:G29 E31:G31 G50 G18 AE18:AH18 H39 H34 H20 H27 H35 H21:H23 D34 D35 C26 C38 C35 C32 C27 C34 C33 M39:P39 M38:O38 L39 M16:O16 AE50:AH50 K14 K15 K16 K17 AE15:AI17 O14:P14 O15 O17 J17 R15:R16 C24 C25 C28 C29 C30 C31 C36 C37 AE27:AH27 AE39:AI39 AE33:AH33 AE41:AH41 W51 Y51:AF51 AH51 AE57:AH57 AH45:AI45 K57 AE42:AH42 AI14 AI18:AI20 AI24:AI34 AI36:AI38 AI40:AI42 AI57 AI59 AE48:AH48 Y57:AA57 M43:P44 W49:AA49 G28 G30 M41:O41 AH49 W15:AA15 Y14:AA14" unlockedFormula="1"/>
    <ignoredError sqref="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Z173"/>
  <sheetViews>
    <sheetView showGridLines="0" zoomScale="70" zoomScaleNormal="40" workbookViewId="0"/>
  </sheetViews>
  <sheetFormatPr defaultColWidth="8.88671875" defaultRowHeight="12.75"/>
  <cols>
    <col min="1" max="1" width="1.6640625" style="439" customWidth="1"/>
    <col min="2" max="2" width="40.88671875" style="439" customWidth="1"/>
    <col min="3" max="3" width="1.6640625" style="439" customWidth="1"/>
    <col min="4" max="4" width="12.33203125" style="439" customWidth="1"/>
    <col min="5" max="5" width="1.6640625" style="439" customWidth="1"/>
    <col min="6" max="6" width="12" style="439" customWidth="1"/>
    <col min="7" max="7" width="1.6640625" style="439" customWidth="1"/>
    <col min="8" max="8" width="13.21875" style="439" customWidth="1"/>
    <col min="9" max="9" width="1.6640625" style="439" customWidth="1"/>
    <col min="10" max="10" width="13.21875" style="439" customWidth="1"/>
    <col min="11" max="11" width="1.6640625" style="439" customWidth="1"/>
    <col min="12" max="12" width="13.21875" style="439" customWidth="1"/>
    <col min="13" max="13" width="1.6640625" style="439" customWidth="1"/>
    <col min="14" max="14" width="14" style="439" customWidth="1"/>
    <col min="15" max="15" width="1.6640625" style="439" customWidth="1"/>
    <col min="16" max="16" width="11.88671875" style="439" customWidth="1"/>
    <col min="17" max="17" width="1.6640625" style="439" customWidth="1"/>
    <col min="18" max="18" width="11.5546875" style="439" customWidth="1"/>
    <col min="19" max="19" width="1.6640625" style="439" customWidth="1"/>
    <col min="20" max="20" width="12.109375" style="439" customWidth="1"/>
    <col min="21" max="21" width="1.6640625" style="439" customWidth="1"/>
    <col min="22" max="22" width="13" style="439" customWidth="1"/>
    <col min="23" max="23" width="1.6640625" style="439" customWidth="1"/>
    <col min="24" max="24" width="12.33203125" style="439" customWidth="1"/>
    <col min="25" max="25" width="1.6640625" style="439" customWidth="1"/>
    <col min="26" max="26" width="9.88671875" style="439" customWidth="1"/>
    <col min="27" max="27" width="1.33203125" style="439" customWidth="1"/>
    <col min="28" max="29" width="1.6640625" style="439" customWidth="1"/>
    <col min="30" max="30" width="11.77734375" style="439" customWidth="1"/>
    <col min="31" max="32" width="1.44140625" style="439" customWidth="1"/>
    <col min="33" max="33" width="12.6640625" style="1536" bestFit="1" customWidth="1"/>
    <col min="34" max="34" width="1.5546875" style="439" customWidth="1"/>
    <col min="35" max="35" width="0.88671875" style="439" customWidth="1"/>
    <col min="36" max="36" width="14.88671875" style="439" customWidth="1"/>
    <col min="37" max="37" width="0.6640625" style="439" customWidth="1"/>
    <col min="38" max="38" width="12.109375" style="439" customWidth="1"/>
    <col min="39" max="16384" width="8.88671875" style="439"/>
  </cols>
  <sheetData>
    <row r="1" spans="1:40" ht="15">
      <c r="B1" s="1052" t="s">
        <v>1064</v>
      </c>
    </row>
    <row r="2" spans="1:40" ht="15.75">
      <c r="A2" s="438"/>
      <c r="M2" s="216"/>
      <c r="N2" s="216"/>
      <c r="O2" s="477"/>
    </row>
    <row r="3" spans="1:40" ht="20.25" customHeight="1">
      <c r="A3" s="438"/>
      <c r="B3" s="443" t="s">
        <v>0</v>
      </c>
      <c r="M3" s="216"/>
      <c r="N3" s="216"/>
      <c r="O3" s="477"/>
      <c r="AF3" s="509"/>
      <c r="AG3" s="3470"/>
      <c r="AH3" s="509"/>
      <c r="AI3" s="509"/>
      <c r="AJ3" s="509"/>
      <c r="AK3" s="509"/>
      <c r="AL3" s="690" t="s">
        <v>171</v>
      </c>
    </row>
    <row r="4" spans="1:40" ht="18">
      <c r="A4" s="438"/>
      <c r="B4" s="443" t="s">
        <v>178</v>
      </c>
      <c r="L4" s="216"/>
      <c r="M4" s="216"/>
      <c r="O4" s="477"/>
    </row>
    <row r="5" spans="1:40" ht="18">
      <c r="A5" s="438"/>
      <c r="B5" s="602" t="s">
        <v>150</v>
      </c>
      <c r="L5" s="477"/>
      <c r="M5" s="477"/>
      <c r="O5" s="477"/>
      <c r="X5" s="510"/>
    </row>
    <row r="6" spans="1:40" ht="20.25">
      <c r="A6" s="438"/>
      <c r="B6" s="2505" t="str">
        <f>'Cashflow Governmental'!A6</f>
        <v>FISCAL YEAR 2018-2019</v>
      </c>
      <c r="L6" s="477"/>
      <c r="M6" s="477"/>
      <c r="O6" s="477"/>
      <c r="AL6" s="483"/>
    </row>
    <row r="7" spans="1:40" ht="18">
      <c r="A7" s="438"/>
      <c r="B7" s="443" t="s">
        <v>1292</v>
      </c>
      <c r="AI7" s="340"/>
      <c r="AJ7" s="340"/>
      <c r="AK7" s="340"/>
      <c r="AL7" s="340"/>
    </row>
    <row r="8" spans="1:40" ht="13.5" customHeight="1">
      <c r="A8" s="438"/>
      <c r="D8" s="3515"/>
      <c r="L8" s="477"/>
      <c r="M8" s="477"/>
      <c r="N8" s="477"/>
      <c r="O8" s="477"/>
      <c r="AC8" s="340"/>
      <c r="AD8" s="477"/>
      <c r="AE8" s="477"/>
      <c r="AF8" s="340"/>
      <c r="AG8" s="1792"/>
      <c r="AH8" s="340"/>
      <c r="AI8" s="477"/>
      <c r="AJ8" s="477"/>
      <c r="AK8" s="477"/>
      <c r="AL8" s="477"/>
    </row>
    <row r="9" spans="1:40" ht="20.25" customHeight="1">
      <c r="A9" s="438"/>
      <c r="L9" s="477"/>
      <c r="M9" s="477"/>
      <c r="N9" s="477"/>
      <c r="O9" s="477"/>
      <c r="AC9" s="3749" t="s">
        <v>1466</v>
      </c>
      <c r="AD9" s="3749"/>
      <c r="AE9" s="3749"/>
      <c r="AF9" s="3749"/>
      <c r="AG9" s="3749"/>
      <c r="AH9" s="3749"/>
      <c r="AI9" s="3749"/>
      <c r="AJ9" s="3749"/>
      <c r="AK9" s="3749"/>
      <c r="AL9" s="3749"/>
    </row>
    <row r="10" spans="1:40" ht="15.75">
      <c r="A10" s="438"/>
      <c r="B10" s="217"/>
      <c r="C10" s="217"/>
      <c r="D10" s="1293" t="str">
        <f>'Cashflow Governmental'!C13</f>
        <v>2018</v>
      </c>
      <c r="E10" s="216"/>
      <c r="F10" s="216"/>
      <c r="G10" s="216"/>
      <c r="H10" s="216"/>
      <c r="I10" s="216"/>
      <c r="J10" s="216"/>
      <c r="K10" s="216"/>
      <c r="L10" s="216"/>
      <c r="M10" s="216"/>
      <c r="N10" s="216"/>
      <c r="O10" s="216"/>
      <c r="P10" s="216"/>
      <c r="Q10" s="216"/>
      <c r="R10" s="216"/>
      <c r="S10" s="216"/>
      <c r="T10" s="216"/>
      <c r="U10" s="216"/>
      <c r="V10" s="1293" t="str">
        <f>'Cashflow Governmental'!U13</f>
        <v>2019</v>
      </c>
      <c r="W10" s="216"/>
      <c r="X10" s="216"/>
      <c r="Y10" s="216"/>
      <c r="Z10" s="216"/>
      <c r="AA10" s="216"/>
      <c r="AB10" s="216"/>
      <c r="AC10" s="216"/>
      <c r="AD10" s="400"/>
      <c r="AE10" s="400"/>
      <c r="AF10" s="400"/>
      <c r="AG10" s="1810"/>
      <c r="AH10" s="400"/>
      <c r="AI10" s="399"/>
      <c r="AJ10" s="1299" t="s">
        <v>8</v>
      </c>
      <c r="AK10" s="1299"/>
      <c r="AL10" s="1299" t="s">
        <v>9</v>
      </c>
      <c r="AM10" s="1304"/>
      <c r="AN10" s="1304"/>
    </row>
    <row r="11" spans="1:40" ht="15.75">
      <c r="A11" s="438"/>
      <c r="B11" s="217"/>
      <c r="C11" s="217"/>
      <c r="D11" s="1776" t="s">
        <v>126</v>
      </c>
      <c r="E11" s="216"/>
      <c r="F11" s="1776" t="s">
        <v>127</v>
      </c>
      <c r="G11" s="216"/>
      <c r="H11" s="1776" t="s">
        <v>128</v>
      </c>
      <c r="I11" s="216"/>
      <c r="J11" s="1776" t="s">
        <v>129</v>
      </c>
      <c r="K11" s="216"/>
      <c r="L11" s="1776" t="s">
        <v>130</v>
      </c>
      <c r="M11" s="216"/>
      <c r="N11" s="1776" t="s">
        <v>145</v>
      </c>
      <c r="O11" s="216"/>
      <c r="P11" s="1776" t="s">
        <v>146</v>
      </c>
      <c r="Q11" s="216"/>
      <c r="R11" s="1776" t="s">
        <v>133</v>
      </c>
      <c r="S11" s="216"/>
      <c r="T11" s="1776" t="s">
        <v>134</v>
      </c>
      <c r="U11" s="216"/>
      <c r="V11" s="1776" t="s">
        <v>135</v>
      </c>
      <c r="W11" s="216"/>
      <c r="X11" s="1776" t="s">
        <v>136</v>
      </c>
      <c r="Y11" s="216"/>
      <c r="Z11" s="1776" t="s">
        <v>188</v>
      </c>
      <c r="AA11" s="1305"/>
      <c r="AB11" s="216"/>
      <c r="AC11" s="216"/>
      <c r="AD11" s="1782" t="str">
        <f>'Cashflow Governmental'!AB14</f>
        <v>2018</v>
      </c>
      <c r="AE11" s="1293"/>
      <c r="AF11" s="1279" t="s">
        <v>15</v>
      </c>
      <c r="AG11" s="3471" t="str">
        <f>'Cashflow Governmental'!AE14</f>
        <v>2017</v>
      </c>
      <c r="AH11" s="1278"/>
      <c r="AI11" s="399"/>
      <c r="AJ11" s="1783" t="s">
        <v>12</v>
      </c>
      <c r="AK11" s="1297"/>
      <c r="AL11" s="1783" t="s">
        <v>13</v>
      </c>
      <c r="AM11" s="1304"/>
      <c r="AN11" s="1304"/>
    </row>
    <row r="12" spans="1:40" ht="5.25" customHeight="1">
      <c r="A12" s="438"/>
      <c r="B12" s="217"/>
      <c r="C12" s="217"/>
      <c r="D12" s="1305"/>
      <c r="E12" s="216"/>
      <c r="F12" s="1305"/>
      <c r="G12" s="216"/>
      <c r="H12" s="1305"/>
      <c r="I12" s="216"/>
      <c r="J12" s="1305"/>
      <c r="K12" s="216"/>
      <c r="L12" s="1305"/>
      <c r="M12" s="216"/>
      <c r="N12" s="1305"/>
      <c r="O12" s="216"/>
      <c r="P12" s="1305"/>
      <c r="Q12" s="216"/>
      <c r="R12" s="1305"/>
      <c r="S12" s="216"/>
      <c r="T12" s="1305"/>
      <c r="U12" s="216"/>
      <c r="V12" s="1305"/>
      <c r="W12" s="216"/>
      <c r="X12" s="1305"/>
      <c r="Y12" s="216"/>
      <c r="Z12" s="1305"/>
      <c r="AA12" s="1305"/>
      <c r="AB12" s="216"/>
      <c r="AC12" s="216"/>
      <c r="AD12" s="1278"/>
      <c r="AE12" s="1293"/>
      <c r="AF12" s="1279"/>
      <c r="AG12" s="1840"/>
      <c r="AH12" s="1278"/>
      <c r="AI12" s="399"/>
      <c r="AJ12" s="1297"/>
      <c r="AK12" s="1297"/>
      <c r="AL12" s="1297"/>
      <c r="AM12" s="1304"/>
      <c r="AN12" s="1304"/>
    </row>
    <row r="13" spans="1:40" s="1781" customFormat="1" ht="15.75">
      <c r="A13" s="1779"/>
      <c r="B13" s="3078" t="s">
        <v>1397</v>
      </c>
      <c r="C13" s="224"/>
      <c r="D13" s="543">
        <v>4008.5</v>
      </c>
      <c r="E13" s="458"/>
      <c r="F13" s="3093"/>
      <c r="G13" s="458"/>
      <c r="H13" s="3093"/>
      <c r="I13" s="458"/>
      <c r="J13" s="3093"/>
      <c r="K13" s="458"/>
      <c r="L13" s="3093"/>
      <c r="M13" s="458"/>
      <c r="N13" s="3093"/>
      <c r="O13" s="458"/>
      <c r="P13" s="3093"/>
      <c r="Q13" s="458"/>
      <c r="R13" s="3093"/>
      <c r="S13" s="458"/>
      <c r="T13" s="3093"/>
      <c r="U13" s="458"/>
      <c r="V13" s="3093"/>
      <c r="W13" s="458"/>
      <c r="X13" s="3093"/>
      <c r="Y13" s="458"/>
      <c r="Z13" s="3093"/>
      <c r="AA13" s="1305"/>
      <c r="AB13" s="458"/>
      <c r="AC13" s="3508"/>
      <c r="AD13" s="3094">
        <f>D13</f>
        <v>4008.5</v>
      </c>
      <c r="AE13" s="1278"/>
      <c r="AF13" s="3509"/>
      <c r="AG13" s="328">
        <v>3732.3</v>
      </c>
      <c r="AH13" s="1278"/>
      <c r="AI13" s="486"/>
      <c r="AJ13" s="3091">
        <f>ROUND(SUM(+AD13-AG13),1)</f>
        <v>276.2</v>
      </c>
      <c r="AK13" s="301"/>
      <c r="AL13" s="3095">
        <f>ROUND(IF(AG13=0,1,AJ13/ABS(AG13)),3)</f>
        <v>7.3999999999999996E-2</v>
      </c>
      <c r="AM13" s="1780"/>
      <c r="AN13" s="1780"/>
    </row>
    <row r="14" spans="1:40" s="1781" customFormat="1" ht="15.75">
      <c r="A14" s="1779"/>
      <c r="B14" s="3078"/>
      <c r="C14" s="224"/>
      <c r="D14" s="1305"/>
      <c r="E14" s="458"/>
      <c r="F14" s="1305"/>
      <c r="G14" s="458"/>
      <c r="H14" s="1305"/>
      <c r="I14" s="458"/>
      <c r="J14" s="1305"/>
      <c r="K14" s="458"/>
      <c r="L14" s="1305"/>
      <c r="M14" s="458"/>
      <c r="N14" s="1305"/>
      <c r="O14" s="458"/>
      <c r="P14" s="1305"/>
      <c r="Q14" s="458"/>
      <c r="R14" s="1305"/>
      <c r="S14" s="458"/>
      <c r="T14" s="1305"/>
      <c r="U14" s="458"/>
      <c r="V14" s="1305"/>
      <c r="W14" s="458"/>
      <c r="X14" s="1305"/>
      <c r="Y14" s="458"/>
      <c r="Z14" s="1305"/>
      <c r="AA14" s="1305"/>
      <c r="AB14" s="458"/>
      <c r="AC14" s="3508"/>
      <c r="AD14" s="1278"/>
      <c r="AE14" s="1278"/>
      <c r="AF14" s="3509"/>
      <c r="AG14" s="1840"/>
      <c r="AH14" s="1278"/>
      <c r="AI14" s="486"/>
      <c r="AJ14" s="1297"/>
      <c r="AK14" s="1297"/>
      <c r="AL14" s="1297"/>
      <c r="AM14" s="1780"/>
      <c r="AN14" s="1780"/>
    </row>
    <row r="15" spans="1:40" ht="15" customHeight="1">
      <c r="A15" s="340"/>
      <c r="B15" s="216" t="s">
        <v>14</v>
      </c>
      <c r="C15" s="218"/>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1778"/>
      <c r="AD15" s="224"/>
      <c r="AE15" s="217"/>
      <c r="AF15" s="1778"/>
      <c r="AG15" s="295"/>
      <c r="AH15" s="224"/>
      <c r="AI15" s="486"/>
      <c r="AJ15" s="217"/>
      <c r="AK15" s="217"/>
      <c r="AL15" s="217"/>
    </row>
    <row r="16" spans="1:40" ht="15" customHeight="1">
      <c r="A16" s="340"/>
      <c r="B16" s="467" t="s">
        <v>1193</v>
      </c>
      <c r="C16" s="218"/>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512"/>
      <c r="AD16" s="224"/>
      <c r="AE16" s="217"/>
      <c r="AF16" s="512"/>
      <c r="AG16" s="295"/>
      <c r="AH16" s="490"/>
      <c r="AI16" s="224"/>
      <c r="AJ16" s="217"/>
      <c r="AK16" s="217"/>
      <c r="AL16" s="217"/>
    </row>
    <row r="17" spans="1:38" s="2981" customFormat="1" ht="15" customHeight="1">
      <c r="A17" s="2978"/>
      <c r="B17" s="2017" t="s">
        <v>1196</v>
      </c>
      <c r="C17" s="294"/>
      <c r="D17" s="1545">
        <f>$AD17</f>
        <v>0</v>
      </c>
      <c r="E17" s="2502"/>
      <c r="F17" s="1545"/>
      <c r="G17" s="2502"/>
      <c r="H17" s="1545"/>
      <c r="I17" s="2502"/>
      <c r="J17" s="1545"/>
      <c r="K17" s="2509"/>
      <c r="L17" s="2743"/>
      <c r="M17" s="2932"/>
      <c r="N17" s="2743"/>
      <c r="O17" s="2932"/>
      <c r="P17" s="2914"/>
      <c r="Q17" s="3302"/>
      <c r="R17" s="2914"/>
      <c r="S17" s="3302"/>
      <c r="T17" s="2914"/>
      <c r="U17" s="3302"/>
      <c r="V17" s="2914"/>
      <c r="W17" s="3302"/>
      <c r="X17" s="2914"/>
      <c r="Y17" s="3302"/>
      <c r="Z17" s="2914"/>
      <c r="AA17" s="3303"/>
      <c r="AB17" s="3345"/>
      <c r="AC17" s="3346"/>
      <c r="AD17" s="2914">
        <v>0</v>
      </c>
      <c r="AE17" s="3347"/>
      <c r="AF17" s="3348"/>
      <c r="AG17" s="2914">
        <v>0</v>
      </c>
      <c r="AH17" s="2979"/>
      <c r="AI17" s="1731"/>
      <c r="AJ17" s="1544">
        <f>ROUND(SUM(+AD17-AG17),1)</f>
        <v>0</v>
      </c>
      <c r="AK17" s="1544"/>
      <c r="AL17" s="2972">
        <f>ROUND(IF(AG17=0,0,AJ17/ABS(AG17)),3)</f>
        <v>0</v>
      </c>
    </row>
    <row r="18" spans="1:38" s="2981" customFormat="1" ht="6" customHeight="1">
      <c r="A18" s="2978"/>
      <c r="B18" s="2017"/>
      <c r="C18" s="294"/>
      <c r="D18" s="3048"/>
      <c r="E18" s="283"/>
      <c r="F18" s="3048"/>
      <c r="G18" s="283"/>
      <c r="H18" s="1545"/>
      <c r="I18" s="283"/>
      <c r="J18" s="3048"/>
      <c r="K18" s="324"/>
      <c r="L18" s="2743"/>
      <c r="M18" s="324"/>
      <c r="N18" s="2743"/>
      <c r="O18" s="324"/>
      <c r="P18" s="2914"/>
      <c r="Q18" s="3349"/>
      <c r="R18" s="2914"/>
      <c r="S18" s="3349"/>
      <c r="T18" s="3350"/>
      <c r="U18" s="3349"/>
      <c r="V18" s="2914"/>
      <c r="W18" s="3349"/>
      <c r="X18" s="2914"/>
      <c r="Y18" s="3349"/>
      <c r="Z18" s="3350"/>
      <c r="AA18" s="3350"/>
      <c r="AB18" s="3349"/>
      <c r="AC18" s="3351"/>
      <c r="AD18" s="3349"/>
      <c r="AE18" s="3347"/>
      <c r="AF18" s="3352"/>
      <c r="AG18" s="3349"/>
      <c r="AH18" s="2979"/>
      <c r="AI18" s="1731"/>
      <c r="AJ18" s="324"/>
      <c r="AK18" s="301"/>
      <c r="AL18" s="2980"/>
    </row>
    <row r="19" spans="1:38" s="1536" customFormat="1" ht="15" customHeight="1">
      <c r="A19" s="1792"/>
      <c r="B19" s="2017" t="s">
        <v>1261</v>
      </c>
      <c r="C19" s="296"/>
      <c r="D19" s="2502"/>
      <c r="E19" s="2502"/>
      <c r="F19" s="2502"/>
      <c r="G19" s="2502"/>
      <c r="H19" s="1545"/>
      <c r="I19" s="2502"/>
      <c r="J19" s="2502"/>
      <c r="K19" s="307"/>
      <c r="L19" s="2743"/>
      <c r="M19" s="307"/>
      <c r="N19" s="2743"/>
      <c r="O19" s="307"/>
      <c r="P19" s="2914"/>
      <c r="Q19" s="3311"/>
      <c r="R19" s="2914"/>
      <c r="S19" s="3311"/>
      <c r="T19" s="3311"/>
      <c r="U19" s="3311"/>
      <c r="V19" s="2914"/>
      <c r="W19" s="3311"/>
      <c r="X19" s="2914"/>
      <c r="Y19" s="3311"/>
      <c r="Z19" s="3311"/>
      <c r="AA19" s="3311"/>
      <c r="AB19" s="3311"/>
      <c r="AC19" s="3313"/>
      <c r="AD19" s="3311"/>
      <c r="AE19" s="3311"/>
      <c r="AF19" s="3353"/>
      <c r="AG19" s="3311"/>
      <c r="AH19" s="1795"/>
      <c r="AI19" s="255"/>
      <c r="AJ19" s="1544"/>
      <c r="AK19" s="1537"/>
      <c r="AL19" s="2982"/>
    </row>
    <row r="20" spans="1:38" s="1536" customFormat="1" ht="15" customHeight="1">
      <c r="A20" s="1792"/>
      <c r="B20" s="1805" t="s">
        <v>1211</v>
      </c>
      <c r="C20" s="296"/>
      <c r="D20" s="1545">
        <f>$AD20</f>
        <v>98.2</v>
      </c>
      <c r="E20" s="3049"/>
      <c r="F20" s="1545"/>
      <c r="G20" s="3049"/>
      <c r="H20" s="1545"/>
      <c r="I20" s="3049"/>
      <c r="J20" s="1545"/>
      <c r="K20" s="2509"/>
      <c r="L20" s="2743"/>
      <c r="M20" s="2509"/>
      <c r="N20" s="2743"/>
      <c r="O20" s="2509"/>
      <c r="P20" s="2914"/>
      <c r="Q20" s="3314"/>
      <c r="R20" s="2914"/>
      <c r="S20" s="3314"/>
      <c r="T20" s="2914"/>
      <c r="U20" s="3314"/>
      <c r="V20" s="2914"/>
      <c r="W20" s="3314"/>
      <c r="X20" s="2914"/>
      <c r="Y20" s="3314"/>
      <c r="Z20" s="2914"/>
      <c r="AA20" s="3315"/>
      <c r="AB20" s="3316"/>
      <c r="AC20" s="3318"/>
      <c r="AD20" s="2914">
        <v>98.2</v>
      </c>
      <c r="AE20" s="3354"/>
      <c r="AF20" s="3355"/>
      <c r="AG20" s="2914">
        <v>92.5</v>
      </c>
      <c r="AH20" s="1795"/>
      <c r="AI20" s="255"/>
      <c r="AJ20" s="1544">
        <f t="shared" ref="AJ20:AJ27" si="0">ROUND(SUM(+AD20-AG20),1)</f>
        <v>5.7</v>
      </c>
      <c r="AK20" s="1537"/>
      <c r="AL20" s="2976">
        <f t="shared" ref="AL20:AL28" si="1">ROUND(IF(AG20=0,0,AJ20/ABS(AG20)),3)</f>
        <v>6.2E-2</v>
      </c>
    </row>
    <row r="21" spans="1:38" s="1536" customFormat="1" ht="15" customHeight="1">
      <c r="A21" s="1792"/>
      <c r="B21" s="1805" t="s">
        <v>1212</v>
      </c>
      <c r="C21" s="296"/>
      <c r="D21" s="1545">
        <f t="shared" ref="D21:D27" si="2">$AD21</f>
        <v>0.9</v>
      </c>
      <c r="E21" s="3049"/>
      <c r="F21" s="1545"/>
      <c r="G21" s="3049"/>
      <c r="H21" s="1545"/>
      <c r="I21" s="3049"/>
      <c r="J21" s="1545"/>
      <c r="K21" s="2509"/>
      <c r="L21" s="2743"/>
      <c r="M21" s="2509"/>
      <c r="N21" s="2743"/>
      <c r="O21" s="2509"/>
      <c r="P21" s="2914"/>
      <c r="Q21" s="3314"/>
      <c r="R21" s="2914"/>
      <c r="S21" s="3314"/>
      <c r="T21" s="2914"/>
      <c r="U21" s="3314"/>
      <c r="V21" s="2914"/>
      <c r="W21" s="3314"/>
      <c r="X21" s="2914"/>
      <c r="Y21" s="3314"/>
      <c r="Z21" s="2914"/>
      <c r="AA21" s="3315"/>
      <c r="AB21" s="3316"/>
      <c r="AC21" s="3318"/>
      <c r="AD21" s="2914">
        <v>0.9</v>
      </c>
      <c r="AE21" s="3354"/>
      <c r="AF21" s="3355"/>
      <c r="AG21" s="2914">
        <v>3.7</v>
      </c>
      <c r="AH21" s="1795"/>
      <c r="AI21" s="255"/>
      <c r="AJ21" s="1544">
        <f t="shared" si="0"/>
        <v>-2.8</v>
      </c>
      <c r="AK21" s="1537"/>
      <c r="AL21" s="2976">
        <f t="shared" si="1"/>
        <v>-0.75700000000000001</v>
      </c>
    </row>
    <row r="22" spans="1:38" s="1536" customFormat="1" ht="15" customHeight="1">
      <c r="A22" s="1792"/>
      <c r="B22" s="1805" t="s">
        <v>1213</v>
      </c>
      <c r="C22" s="296"/>
      <c r="D22" s="1545">
        <f t="shared" si="2"/>
        <v>63.6</v>
      </c>
      <c r="E22" s="3049"/>
      <c r="F22" s="1545"/>
      <c r="G22" s="3049"/>
      <c r="H22" s="1545"/>
      <c r="I22" s="3049"/>
      <c r="J22" s="1545"/>
      <c r="K22" s="2509"/>
      <c r="L22" s="2743"/>
      <c r="M22" s="2509"/>
      <c r="N22" s="2743"/>
      <c r="O22" s="2509"/>
      <c r="P22" s="2914"/>
      <c r="Q22" s="3314"/>
      <c r="R22" s="2914"/>
      <c r="S22" s="3314"/>
      <c r="T22" s="2914"/>
      <c r="U22" s="3314"/>
      <c r="V22" s="2914"/>
      <c r="W22" s="3314"/>
      <c r="X22" s="2914"/>
      <c r="Y22" s="3314"/>
      <c r="Z22" s="2914"/>
      <c r="AA22" s="3315"/>
      <c r="AB22" s="3316"/>
      <c r="AC22" s="3318"/>
      <c r="AD22" s="2914">
        <v>63.6</v>
      </c>
      <c r="AE22" s="3354"/>
      <c r="AF22" s="3355"/>
      <c r="AG22" s="2914">
        <v>64.099999999999994</v>
      </c>
      <c r="AH22" s="1795"/>
      <c r="AI22" s="255"/>
      <c r="AJ22" s="1544">
        <f t="shared" si="0"/>
        <v>-0.5</v>
      </c>
      <c r="AK22" s="1537"/>
      <c r="AL22" s="2976">
        <f t="shared" si="1"/>
        <v>-8.0000000000000002E-3</v>
      </c>
    </row>
    <row r="23" spans="1:38" s="1536" customFormat="1" ht="15" customHeight="1">
      <c r="A23" s="1792"/>
      <c r="B23" s="2930" t="s">
        <v>1377</v>
      </c>
      <c r="C23" s="296"/>
      <c r="D23" s="1545">
        <f t="shared" si="2"/>
        <v>0.2</v>
      </c>
      <c r="E23" s="3049"/>
      <c r="F23" s="1545"/>
      <c r="G23" s="3049"/>
      <c r="H23" s="1545"/>
      <c r="I23" s="3049"/>
      <c r="J23" s="1545"/>
      <c r="K23" s="2509"/>
      <c r="L23" s="2743"/>
      <c r="M23" s="2509"/>
      <c r="N23" s="2743"/>
      <c r="O23" s="2509"/>
      <c r="P23" s="2914"/>
      <c r="Q23" s="3314"/>
      <c r="R23" s="2914"/>
      <c r="S23" s="3314"/>
      <c r="T23" s="2914"/>
      <c r="U23" s="3314"/>
      <c r="V23" s="2914"/>
      <c r="W23" s="3314"/>
      <c r="X23" s="2914"/>
      <c r="Y23" s="3314"/>
      <c r="Z23" s="2914"/>
      <c r="AA23" s="3315"/>
      <c r="AB23" s="3316"/>
      <c r="AC23" s="3318"/>
      <c r="AD23" s="2914">
        <v>0.2</v>
      </c>
      <c r="AE23" s="3354"/>
      <c r="AF23" s="3355"/>
      <c r="AG23" s="2914">
        <v>0.1</v>
      </c>
      <c r="AH23" s="1795"/>
      <c r="AI23" s="255"/>
      <c r="AJ23" s="1544">
        <f>ROUND(SUM(+AD23-AG23),1)</f>
        <v>0.1</v>
      </c>
      <c r="AK23" s="1537"/>
      <c r="AL23" s="2843">
        <f>ROUND(IF(AG23=0,1,AJ23/ABS(AG23)),3)</f>
        <v>1</v>
      </c>
    </row>
    <row r="24" spans="1:38" s="1536" customFormat="1" ht="15" customHeight="1">
      <c r="A24" s="1792"/>
      <c r="B24" s="1805" t="s">
        <v>1214</v>
      </c>
      <c r="C24" s="296"/>
      <c r="D24" s="1545">
        <f t="shared" si="2"/>
        <v>7.9</v>
      </c>
      <c r="E24" s="3049"/>
      <c r="F24" s="1545"/>
      <c r="G24" s="3049"/>
      <c r="H24" s="1545"/>
      <c r="I24" s="3049"/>
      <c r="J24" s="1545"/>
      <c r="K24" s="2509"/>
      <c r="L24" s="2743"/>
      <c r="M24" s="2509"/>
      <c r="N24" s="2743"/>
      <c r="O24" s="2509"/>
      <c r="P24" s="2914"/>
      <c r="Q24" s="3314"/>
      <c r="R24" s="2914"/>
      <c r="S24" s="3314"/>
      <c r="T24" s="2914"/>
      <c r="U24" s="3314"/>
      <c r="V24" s="2914"/>
      <c r="W24" s="3314"/>
      <c r="X24" s="2914"/>
      <c r="Y24" s="3314"/>
      <c r="Z24" s="2914"/>
      <c r="AA24" s="3315"/>
      <c r="AB24" s="3316"/>
      <c r="AC24" s="3318"/>
      <c r="AD24" s="2914">
        <v>7.9</v>
      </c>
      <c r="AE24" s="3354"/>
      <c r="AF24" s="3355"/>
      <c r="AG24" s="2914">
        <v>8.6</v>
      </c>
      <c r="AH24" s="1795"/>
      <c r="AI24" s="255"/>
      <c r="AJ24" s="1544">
        <f t="shared" si="0"/>
        <v>-0.7</v>
      </c>
      <c r="AK24" s="1537"/>
      <c r="AL24" s="2976">
        <f t="shared" si="1"/>
        <v>-8.1000000000000003E-2</v>
      </c>
    </row>
    <row r="25" spans="1:38" s="1536" customFormat="1" ht="15" customHeight="1">
      <c r="A25" s="1792"/>
      <c r="B25" s="1805" t="s">
        <v>1215</v>
      </c>
      <c r="C25" s="296"/>
      <c r="D25" s="1545">
        <f t="shared" si="2"/>
        <v>0</v>
      </c>
      <c r="E25" s="3049"/>
      <c r="F25" s="1545"/>
      <c r="G25" s="3049"/>
      <c r="H25" s="1545"/>
      <c r="I25" s="3049"/>
      <c r="J25" s="1545"/>
      <c r="K25" s="2509"/>
      <c r="L25" s="2743"/>
      <c r="M25" s="2509"/>
      <c r="N25" s="2743"/>
      <c r="O25" s="2509"/>
      <c r="P25" s="2914"/>
      <c r="Q25" s="3314"/>
      <c r="R25" s="2914"/>
      <c r="S25" s="3314"/>
      <c r="T25" s="2914"/>
      <c r="U25" s="3314"/>
      <c r="V25" s="2914"/>
      <c r="W25" s="3314"/>
      <c r="X25" s="2914"/>
      <c r="Y25" s="3314"/>
      <c r="Z25" s="2914"/>
      <c r="AA25" s="3315"/>
      <c r="AB25" s="3316"/>
      <c r="AC25" s="3318"/>
      <c r="AD25" s="2914">
        <v>0</v>
      </c>
      <c r="AE25" s="3354"/>
      <c r="AF25" s="3355"/>
      <c r="AG25" s="2914">
        <v>0</v>
      </c>
      <c r="AH25" s="1795"/>
      <c r="AI25" s="255"/>
      <c r="AJ25" s="1544">
        <f t="shared" si="0"/>
        <v>0</v>
      </c>
      <c r="AK25" s="1537"/>
      <c r="AL25" s="2976">
        <f t="shared" si="1"/>
        <v>0</v>
      </c>
    </row>
    <row r="26" spans="1:38" s="1536" customFormat="1" ht="15" customHeight="1">
      <c r="A26" s="1792"/>
      <c r="B26" s="1805" t="s">
        <v>1216</v>
      </c>
      <c r="C26" s="296"/>
      <c r="D26" s="1545">
        <f t="shared" si="2"/>
        <v>2.8</v>
      </c>
      <c r="E26" s="3049"/>
      <c r="F26" s="1545"/>
      <c r="G26" s="3049"/>
      <c r="H26" s="1545"/>
      <c r="I26" s="3049"/>
      <c r="J26" s="1545"/>
      <c r="K26" s="2509"/>
      <c r="L26" s="2743"/>
      <c r="M26" s="2509"/>
      <c r="N26" s="2743"/>
      <c r="O26" s="2509"/>
      <c r="P26" s="2914"/>
      <c r="Q26" s="3314"/>
      <c r="R26" s="2914"/>
      <c r="S26" s="3314"/>
      <c r="T26" s="2914"/>
      <c r="U26" s="3314"/>
      <c r="V26" s="2914"/>
      <c r="W26" s="3314"/>
      <c r="X26" s="2914"/>
      <c r="Y26" s="3314"/>
      <c r="Z26" s="2914"/>
      <c r="AA26" s="3315"/>
      <c r="AB26" s="3316"/>
      <c r="AC26" s="3318"/>
      <c r="AD26" s="2914">
        <v>2.8</v>
      </c>
      <c r="AE26" s="3354"/>
      <c r="AF26" s="3355"/>
      <c r="AG26" s="2914">
        <v>0.1</v>
      </c>
      <c r="AH26" s="1795"/>
      <c r="AI26" s="255"/>
      <c r="AJ26" s="1544">
        <f t="shared" si="0"/>
        <v>2.7</v>
      </c>
      <c r="AK26" s="1537"/>
      <c r="AL26" s="2983">
        <f>ROUND(IF(AG26=0,1,AJ26/ABS(AG26)),3)</f>
        <v>27</v>
      </c>
    </row>
    <row r="27" spans="1:38" s="1536" customFormat="1" ht="15" customHeight="1">
      <c r="A27" s="1792"/>
      <c r="B27" s="1807" t="s">
        <v>1217</v>
      </c>
      <c r="C27" s="296"/>
      <c r="D27" s="1545">
        <f t="shared" si="2"/>
        <v>12.8</v>
      </c>
      <c r="E27" s="3049"/>
      <c r="F27" s="1545"/>
      <c r="G27" s="3049"/>
      <c r="H27" s="1545"/>
      <c r="I27" s="3049"/>
      <c r="J27" s="1545"/>
      <c r="K27" s="2509"/>
      <c r="L27" s="2743"/>
      <c r="M27" s="2509"/>
      <c r="N27" s="2743"/>
      <c r="O27" s="2509"/>
      <c r="P27" s="2914"/>
      <c r="Q27" s="3314"/>
      <c r="R27" s="2914"/>
      <c r="S27" s="3314"/>
      <c r="T27" s="2914"/>
      <c r="U27" s="3314"/>
      <c r="V27" s="2914"/>
      <c r="W27" s="3314"/>
      <c r="X27" s="2914"/>
      <c r="Y27" s="3314"/>
      <c r="Z27" s="2914"/>
      <c r="AA27" s="3315"/>
      <c r="AB27" s="3316"/>
      <c r="AC27" s="3318"/>
      <c r="AD27" s="2914">
        <v>12.8</v>
      </c>
      <c r="AE27" s="3354"/>
      <c r="AF27" s="3355"/>
      <c r="AG27" s="2914">
        <v>13.4</v>
      </c>
      <c r="AH27" s="1795"/>
      <c r="AI27" s="255"/>
      <c r="AJ27" s="1544">
        <f t="shared" si="0"/>
        <v>-0.6</v>
      </c>
      <c r="AK27" s="1537"/>
      <c r="AL27" s="2976">
        <f t="shared" si="1"/>
        <v>-4.4999999999999998E-2</v>
      </c>
    </row>
    <row r="28" spans="1:38" s="1304" customFormat="1" ht="15" customHeight="1">
      <c r="A28" s="1789"/>
      <c r="B28" s="1806" t="s">
        <v>1341</v>
      </c>
      <c r="C28" s="216"/>
      <c r="D28" s="3045">
        <f>ROUND(SUM(D20:D27),1)</f>
        <v>186.4</v>
      </c>
      <c r="E28" s="1587"/>
      <c r="F28" s="3045">
        <f>ROUND(SUM(F20:F27),1)</f>
        <v>0</v>
      </c>
      <c r="G28" s="1587"/>
      <c r="H28" s="3045">
        <f>ROUND(SUM(H20:H27),1)</f>
        <v>0</v>
      </c>
      <c r="I28" s="1587"/>
      <c r="J28" s="3045">
        <f>ROUND(SUM(J20:J27),1)</f>
        <v>0</v>
      </c>
      <c r="K28" s="1587"/>
      <c r="L28" s="249">
        <f>ROUND(SUM(L20:L27),1)</f>
        <v>0</v>
      </c>
      <c r="M28" s="1587"/>
      <c r="N28" s="249">
        <f>ROUND(SUM(N20:N27),1)</f>
        <v>0</v>
      </c>
      <c r="O28" s="1587"/>
      <c r="P28" s="3356">
        <f>ROUND(SUM(P20:P27),1)</f>
        <v>0</v>
      </c>
      <c r="Q28" s="2348"/>
      <c r="R28" s="3356">
        <f>ROUND(SUM(R20:R27),1)</f>
        <v>0</v>
      </c>
      <c r="S28" s="2348"/>
      <c r="T28" s="3356">
        <f>ROUND(SUM(T20:T27),1)</f>
        <v>0</v>
      </c>
      <c r="U28" s="2348"/>
      <c r="V28" s="3356">
        <f>ROUND(SUM(V20:V27),1)</f>
        <v>0</v>
      </c>
      <c r="W28" s="2348"/>
      <c r="X28" s="3356">
        <f>ROUND(SUM(X20:X27),1)</f>
        <v>0</v>
      </c>
      <c r="Y28" s="2348"/>
      <c r="Z28" s="3356">
        <f>ROUND(SUM(Z20:Z27),1)</f>
        <v>0</v>
      </c>
      <c r="AA28" s="2330"/>
      <c r="AB28" s="2348"/>
      <c r="AC28" s="3328"/>
      <c r="AD28" s="3356">
        <f>ROUND(SUM(AD20:AD27),1)</f>
        <v>186.4</v>
      </c>
      <c r="AE28" s="2348"/>
      <c r="AF28" s="3357"/>
      <c r="AG28" s="3333">
        <f>ROUND(SUM(AG20:AG27),1)</f>
        <v>182.5</v>
      </c>
      <c r="AH28" s="498"/>
      <c r="AI28" s="264"/>
      <c r="AJ28" s="249">
        <f>ROUND(SUM(AJ20:AJ27),1)</f>
        <v>3.9</v>
      </c>
      <c r="AK28" s="399"/>
      <c r="AL28" s="1766">
        <f t="shared" si="1"/>
        <v>2.1000000000000001E-2</v>
      </c>
    </row>
    <row r="29" spans="1:38" ht="15" customHeight="1">
      <c r="A29" s="340"/>
      <c r="B29" s="2017" t="s">
        <v>1197</v>
      </c>
      <c r="C29" s="218"/>
      <c r="D29" s="2502"/>
      <c r="E29" s="2502"/>
      <c r="F29" s="2502"/>
      <c r="G29" s="2502"/>
      <c r="H29" s="2502"/>
      <c r="I29" s="2502"/>
      <c r="J29" s="2502"/>
      <c r="K29" s="254"/>
      <c r="L29" s="254"/>
      <c r="M29" s="254"/>
      <c r="N29" s="254"/>
      <c r="O29" s="254"/>
      <c r="P29" s="3322"/>
      <c r="Q29" s="3322"/>
      <c r="R29" s="3322"/>
      <c r="S29" s="3322"/>
      <c r="T29" s="3322"/>
      <c r="U29" s="3322"/>
      <c r="V29" s="3322"/>
      <c r="W29" s="3322"/>
      <c r="X29" s="3322"/>
      <c r="Y29" s="3322"/>
      <c r="Z29" s="3322"/>
      <c r="AA29" s="3322"/>
      <c r="AB29" s="3322"/>
      <c r="AC29" s="3325"/>
      <c r="AD29" s="3322"/>
      <c r="AE29" s="3322"/>
      <c r="AF29" s="3358"/>
      <c r="AG29" s="3311"/>
      <c r="AH29" s="491"/>
      <c r="AI29" s="243"/>
      <c r="AJ29" s="1042"/>
      <c r="AK29" s="1583"/>
      <c r="AL29" s="1583"/>
    </row>
    <row r="30" spans="1:38" s="1536" customFormat="1" ht="15" customHeight="1">
      <c r="A30" s="1792"/>
      <c r="B30" s="1805" t="s">
        <v>1219</v>
      </c>
      <c r="C30" s="296"/>
      <c r="D30" s="1545">
        <f>$AD30</f>
        <v>120.8</v>
      </c>
      <c r="E30" s="3049"/>
      <c r="F30" s="1545"/>
      <c r="G30" s="3049"/>
      <c r="H30" s="1545"/>
      <c r="I30" s="2502"/>
      <c r="J30" s="1545"/>
      <c r="K30" s="2509"/>
      <c r="L30" s="2743"/>
      <c r="M30" s="2509"/>
      <c r="N30" s="2743"/>
      <c r="O30" s="2509"/>
      <c r="P30" s="2914"/>
      <c r="Q30" s="3314"/>
      <c r="R30" s="2914"/>
      <c r="S30" s="3314"/>
      <c r="T30" s="2914"/>
      <c r="U30" s="3314"/>
      <c r="V30" s="2914"/>
      <c r="W30" s="3314"/>
      <c r="X30" s="2914"/>
      <c r="Y30" s="3314"/>
      <c r="Z30" s="2914"/>
      <c r="AA30" s="3315"/>
      <c r="AB30" s="3316"/>
      <c r="AC30" s="3318"/>
      <c r="AD30" s="2914">
        <v>120.8</v>
      </c>
      <c r="AE30" s="3354"/>
      <c r="AF30" s="3355"/>
      <c r="AG30" s="2914">
        <v>83.7</v>
      </c>
      <c r="AH30" s="1795"/>
      <c r="AI30" s="255"/>
      <c r="AJ30" s="1544">
        <f>ROUND(SUM(+AD30-AG30),1)</f>
        <v>37.1</v>
      </c>
      <c r="AK30" s="1537"/>
      <c r="AL30" s="2976">
        <f t="shared" ref="AL30:AL35" si="3">ROUND(IF(AG30=0,0,AJ30/ABS(AG30)),3)</f>
        <v>0.443</v>
      </c>
    </row>
    <row r="31" spans="1:38" s="1536" customFormat="1" ht="15" customHeight="1">
      <c r="A31" s="1792"/>
      <c r="B31" s="1805" t="s">
        <v>1220</v>
      </c>
      <c r="C31" s="296"/>
      <c r="D31" s="1545">
        <f t="shared" ref="D31:D34" si="4">$AD31</f>
        <v>23.6</v>
      </c>
      <c r="E31" s="3049"/>
      <c r="F31" s="1545"/>
      <c r="G31" s="3049"/>
      <c r="H31" s="1545"/>
      <c r="I31" s="2502"/>
      <c r="J31" s="1545"/>
      <c r="K31" s="2509"/>
      <c r="L31" s="2743"/>
      <c r="M31" s="2509"/>
      <c r="N31" s="2743"/>
      <c r="O31" s="2509"/>
      <c r="P31" s="2914"/>
      <c r="Q31" s="3314"/>
      <c r="R31" s="2914"/>
      <c r="S31" s="3314"/>
      <c r="T31" s="2914"/>
      <c r="U31" s="3314"/>
      <c r="V31" s="2914"/>
      <c r="W31" s="3314"/>
      <c r="X31" s="2914"/>
      <c r="Y31" s="3314"/>
      <c r="Z31" s="2914"/>
      <c r="AA31" s="3315"/>
      <c r="AB31" s="3316"/>
      <c r="AC31" s="3318"/>
      <c r="AD31" s="2914">
        <v>23.6</v>
      </c>
      <c r="AE31" s="3354"/>
      <c r="AF31" s="3355"/>
      <c r="AG31" s="2914">
        <v>9.3000000000000007</v>
      </c>
      <c r="AH31" s="1795"/>
      <c r="AI31" s="255"/>
      <c r="AJ31" s="1544">
        <f>ROUND(SUM(+AD31-AG31),1)</f>
        <v>14.3</v>
      </c>
      <c r="AK31" s="1537"/>
      <c r="AL31" s="2976">
        <f t="shared" si="3"/>
        <v>1.538</v>
      </c>
    </row>
    <row r="32" spans="1:38" s="1536" customFormat="1" ht="15" customHeight="1">
      <c r="A32" s="1792"/>
      <c r="B32" s="1805" t="s">
        <v>1221</v>
      </c>
      <c r="C32" s="296"/>
      <c r="D32" s="1545">
        <f t="shared" si="4"/>
        <v>4.8</v>
      </c>
      <c r="E32" s="3049"/>
      <c r="F32" s="1545"/>
      <c r="G32" s="3049"/>
      <c r="H32" s="1545"/>
      <c r="I32" s="2502"/>
      <c r="J32" s="1545"/>
      <c r="K32" s="2509"/>
      <c r="L32" s="2743"/>
      <c r="M32" s="2509"/>
      <c r="N32" s="2743"/>
      <c r="O32" s="2509"/>
      <c r="P32" s="2914"/>
      <c r="Q32" s="3314"/>
      <c r="R32" s="2914"/>
      <c r="S32" s="3314"/>
      <c r="T32" s="2914"/>
      <c r="U32" s="3314"/>
      <c r="V32" s="2914"/>
      <c r="W32" s="3314"/>
      <c r="X32" s="2914"/>
      <c r="Y32" s="3314"/>
      <c r="Z32" s="2914"/>
      <c r="AA32" s="3315"/>
      <c r="AB32" s="3316"/>
      <c r="AC32" s="3318"/>
      <c r="AD32" s="2914">
        <v>4.8</v>
      </c>
      <c r="AE32" s="3354"/>
      <c r="AF32" s="3355"/>
      <c r="AG32" s="2914">
        <v>5.2</v>
      </c>
      <c r="AH32" s="1795"/>
      <c r="AI32" s="255"/>
      <c r="AJ32" s="1544">
        <f>ROUND(SUM(+AD32-AG32),1)</f>
        <v>-0.4</v>
      </c>
      <c r="AK32" s="1537"/>
      <c r="AL32" s="2977">
        <f t="shared" si="3"/>
        <v>-7.6999999999999999E-2</v>
      </c>
    </row>
    <row r="33" spans="1:39" s="1536" customFormat="1" ht="15" customHeight="1">
      <c r="A33" s="1792"/>
      <c r="B33" s="1805" t="s">
        <v>1222</v>
      </c>
      <c r="C33" s="296"/>
      <c r="D33" s="1545">
        <f t="shared" si="4"/>
        <v>-2.6999999999999997</v>
      </c>
      <c r="E33" s="3049"/>
      <c r="F33" s="1545"/>
      <c r="G33" s="3049"/>
      <c r="H33" s="1545"/>
      <c r="I33" s="2502"/>
      <c r="J33" s="1545"/>
      <c r="K33" s="2509"/>
      <c r="L33" s="2743"/>
      <c r="M33" s="2509"/>
      <c r="N33" s="2743"/>
      <c r="O33" s="2509"/>
      <c r="P33" s="2914"/>
      <c r="Q33" s="3314"/>
      <c r="R33" s="2914"/>
      <c r="S33" s="3314"/>
      <c r="T33" s="2914"/>
      <c r="U33" s="3314"/>
      <c r="V33" s="2914"/>
      <c r="W33" s="3314"/>
      <c r="X33" s="2914"/>
      <c r="Y33" s="3314"/>
      <c r="Z33" s="2914"/>
      <c r="AA33" s="3315"/>
      <c r="AB33" s="3316"/>
      <c r="AC33" s="3318"/>
      <c r="AD33" s="2914">
        <v>-2.6999999999999997</v>
      </c>
      <c r="AE33" s="3354"/>
      <c r="AF33" s="3355"/>
      <c r="AG33" s="2914">
        <v>0.1</v>
      </c>
      <c r="AH33" s="1795"/>
      <c r="AI33" s="255"/>
      <c r="AJ33" s="1544">
        <f>ROUND(SUM(+AD33-AG33),1)</f>
        <v>-2.8</v>
      </c>
      <c r="AK33" s="1537"/>
      <c r="AL33" s="2977">
        <f t="shared" si="3"/>
        <v>-28</v>
      </c>
    </row>
    <row r="34" spans="1:39" s="1536" customFormat="1" ht="15" customHeight="1">
      <c r="A34" s="1792"/>
      <c r="B34" s="1805" t="s">
        <v>1223</v>
      </c>
      <c r="C34" s="296"/>
      <c r="D34" s="1545">
        <f t="shared" si="4"/>
        <v>25.5</v>
      </c>
      <c r="E34" s="3049"/>
      <c r="F34" s="1545"/>
      <c r="G34" s="3049"/>
      <c r="H34" s="1545"/>
      <c r="I34" s="2502"/>
      <c r="J34" s="1545"/>
      <c r="K34" s="2509"/>
      <c r="L34" s="2743"/>
      <c r="M34" s="2509"/>
      <c r="N34" s="2743"/>
      <c r="O34" s="2509"/>
      <c r="P34" s="2914"/>
      <c r="Q34" s="3314"/>
      <c r="R34" s="2914"/>
      <c r="S34" s="3314"/>
      <c r="T34" s="2914"/>
      <c r="U34" s="3314"/>
      <c r="V34" s="2914"/>
      <c r="W34" s="3314"/>
      <c r="X34" s="2914"/>
      <c r="Y34" s="3314"/>
      <c r="Z34" s="2914"/>
      <c r="AA34" s="3315"/>
      <c r="AB34" s="3316"/>
      <c r="AC34" s="3318"/>
      <c r="AD34" s="2914">
        <v>25.5</v>
      </c>
      <c r="AE34" s="3354"/>
      <c r="AF34" s="3355"/>
      <c r="AG34" s="2914">
        <v>36.799999999999997</v>
      </c>
      <c r="AH34" s="1795"/>
      <c r="AI34" s="255"/>
      <c r="AJ34" s="1544">
        <f>ROUND(SUM(+AD34-AG34),1)</f>
        <v>-11.3</v>
      </c>
      <c r="AK34" s="1537"/>
      <c r="AL34" s="2976">
        <f t="shared" si="3"/>
        <v>-0.307</v>
      </c>
    </row>
    <row r="35" spans="1:39" s="1304" customFormat="1" ht="15" customHeight="1">
      <c r="A35" s="1789"/>
      <c r="B35" s="1806" t="s">
        <v>1345</v>
      </c>
      <c r="C35" s="216"/>
      <c r="D35" s="3045">
        <f>ROUND(SUM(D30:D34),1)</f>
        <v>172</v>
      </c>
      <c r="E35" s="1587"/>
      <c r="F35" s="3045">
        <f>ROUND(SUM(F30:F34),1)</f>
        <v>0</v>
      </c>
      <c r="G35" s="1587"/>
      <c r="H35" s="3045">
        <f>ROUND(SUM(H30:H34),1)</f>
        <v>0</v>
      </c>
      <c r="I35" s="1587"/>
      <c r="J35" s="3045">
        <f>ROUND(SUM(J30:J34),1)</f>
        <v>0</v>
      </c>
      <c r="K35" s="1587"/>
      <c r="L35" s="249">
        <f>ROUND(SUM(L30:L34),1)</f>
        <v>0</v>
      </c>
      <c r="M35" s="1587"/>
      <c r="N35" s="249">
        <f>ROUND(SUM(N30:N34),1)</f>
        <v>0</v>
      </c>
      <c r="O35" s="1587"/>
      <c r="P35" s="3356">
        <f>ROUND(SUM(P30:P34),1)</f>
        <v>0</v>
      </c>
      <c r="Q35" s="2348"/>
      <c r="R35" s="3356">
        <f>ROUND(SUM(R30:R34),1)</f>
        <v>0</v>
      </c>
      <c r="S35" s="2348"/>
      <c r="T35" s="3356">
        <f>ROUND(SUM(T30:T34),1)</f>
        <v>0</v>
      </c>
      <c r="U35" s="2348"/>
      <c r="V35" s="3356">
        <f>ROUND(SUM(V30:V34),1)</f>
        <v>0</v>
      </c>
      <c r="W35" s="2348"/>
      <c r="X35" s="3356">
        <f>ROUND(SUM(X30:X34),1)</f>
        <v>0</v>
      </c>
      <c r="Y35" s="2348"/>
      <c r="Z35" s="3356">
        <f>ROUND(SUM(Z30:Z34),1)</f>
        <v>0</v>
      </c>
      <c r="AA35" s="2330"/>
      <c r="AB35" s="2348"/>
      <c r="AC35" s="3328"/>
      <c r="AD35" s="3356">
        <f>ROUND(SUM(AD30:AD34),1)</f>
        <v>172</v>
      </c>
      <c r="AE35" s="2348"/>
      <c r="AF35" s="3357"/>
      <c r="AG35" s="3333">
        <f>ROUND(SUM(AG30:AG34),1)</f>
        <v>135.1</v>
      </c>
      <c r="AH35" s="498"/>
      <c r="AI35" s="264"/>
      <c r="AJ35" s="249">
        <f>ROUND(SUM(AJ30:AJ34),1)</f>
        <v>36.9</v>
      </c>
      <c r="AK35" s="399"/>
      <c r="AL35" s="2283">
        <f t="shared" si="3"/>
        <v>0.27300000000000002</v>
      </c>
    </row>
    <row r="36" spans="1:39" ht="15" customHeight="1">
      <c r="A36" s="340"/>
      <c r="B36" s="2017" t="s">
        <v>1198</v>
      </c>
      <c r="C36" s="218"/>
      <c r="D36" s="2502"/>
      <c r="E36" s="2502"/>
      <c r="F36" s="2502"/>
      <c r="G36" s="2502"/>
      <c r="H36" s="2502"/>
      <c r="I36" s="2502"/>
      <c r="J36" s="2502"/>
      <c r="K36" s="254"/>
      <c r="L36" s="254"/>
      <c r="M36" s="254"/>
      <c r="N36" s="254"/>
      <c r="O36" s="254"/>
      <c r="P36" s="3322"/>
      <c r="Q36" s="3322"/>
      <c r="R36" s="3322"/>
      <c r="S36" s="3322"/>
      <c r="T36" s="3322"/>
      <c r="U36" s="3322"/>
      <c r="V36" s="3322"/>
      <c r="W36" s="3322"/>
      <c r="X36" s="3322"/>
      <c r="Y36" s="3322"/>
      <c r="Z36" s="3322"/>
      <c r="AA36" s="3322"/>
      <c r="AB36" s="3322"/>
      <c r="AC36" s="3325"/>
      <c r="AD36" s="3322"/>
      <c r="AE36" s="3322"/>
      <c r="AF36" s="3358"/>
      <c r="AG36" s="3311"/>
      <c r="AH36" s="491"/>
      <c r="AI36" s="243"/>
      <c r="AJ36" s="1042"/>
      <c r="AK36" s="1583"/>
      <c r="AL36" s="1583"/>
    </row>
    <row r="37" spans="1:39" s="1536" customFormat="1" ht="15" customHeight="1">
      <c r="A37" s="1792"/>
      <c r="B37" s="1807" t="s">
        <v>1231</v>
      </c>
      <c r="C37" s="296"/>
      <c r="D37" s="1545">
        <f>$AD37</f>
        <v>0</v>
      </c>
      <c r="E37" s="3049"/>
      <c r="F37" s="1545"/>
      <c r="G37" s="3049"/>
      <c r="H37" s="1545"/>
      <c r="I37" s="2502"/>
      <c r="J37" s="1545"/>
      <c r="K37" s="2509"/>
      <c r="L37" s="2743"/>
      <c r="M37" s="2509"/>
      <c r="N37" s="2743"/>
      <c r="O37" s="2509"/>
      <c r="P37" s="2914"/>
      <c r="Q37" s="3314"/>
      <c r="R37" s="2914"/>
      <c r="S37" s="3314"/>
      <c r="T37" s="2914"/>
      <c r="U37" s="3314"/>
      <c r="V37" s="2914"/>
      <c r="W37" s="3314"/>
      <c r="X37" s="2914"/>
      <c r="Y37" s="3314"/>
      <c r="Z37" s="2914"/>
      <c r="AA37" s="3315"/>
      <c r="AB37" s="3316"/>
      <c r="AC37" s="3318"/>
      <c r="AD37" s="2914">
        <v>0</v>
      </c>
      <c r="AE37" s="3354"/>
      <c r="AF37" s="3355"/>
      <c r="AG37" s="2914">
        <v>120.2</v>
      </c>
      <c r="AH37" s="1795"/>
      <c r="AI37" s="255"/>
      <c r="AJ37" s="1544">
        <f>ROUND(SUM(+AD37-AG37),1)</f>
        <v>-120.2</v>
      </c>
      <c r="AK37" s="1537"/>
      <c r="AL37" s="2843">
        <f>ROUND(IF(AG37=0,0,AJ37/ABS(AG37)),3)</f>
        <v>-1</v>
      </c>
    </row>
    <row r="38" spans="1:39" s="1304" customFormat="1" ht="15" customHeight="1">
      <c r="A38" s="1789"/>
      <c r="B38" s="1806" t="s">
        <v>1346</v>
      </c>
      <c r="C38" s="216"/>
      <c r="D38" s="3045">
        <f>ROUND(SUM(D37:D37),1)</f>
        <v>0</v>
      </c>
      <c r="E38" s="1587"/>
      <c r="F38" s="3045">
        <f>ROUND(SUM(F37:F37),1)</f>
        <v>0</v>
      </c>
      <c r="G38" s="1587"/>
      <c r="H38" s="3045">
        <f>ROUND(SUM(H37:H37),1)</f>
        <v>0</v>
      </c>
      <c r="I38" s="1587"/>
      <c r="J38" s="3045">
        <f>ROUND(SUM(J37:J37),1)</f>
        <v>0</v>
      </c>
      <c r="K38" s="1587"/>
      <c r="L38" s="249">
        <f>ROUND(SUM(L37:L37),1)</f>
        <v>0</v>
      </c>
      <c r="M38" s="1587"/>
      <c r="N38" s="249">
        <f>ROUND(SUM(N37:N37),1)</f>
        <v>0</v>
      </c>
      <c r="O38" s="1587"/>
      <c r="P38" s="3356">
        <f>ROUND(SUM(P37:P37),1)</f>
        <v>0</v>
      </c>
      <c r="Q38" s="2348"/>
      <c r="R38" s="3356">
        <f>ROUND(SUM(R37:R37),1)</f>
        <v>0</v>
      </c>
      <c r="S38" s="2348"/>
      <c r="T38" s="3356">
        <f>ROUND(SUM(T37:T37),1)</f>
        <v>0</v>
      </c>
      <c r="U38" s="2348"/>
      <c r="V38" s="3356">
        <f>ROUND(SUM(V37:V37),1)</f>
        <v>0</v>
      </c>
      <c r="W38" s="2348"/>
      <c r="X38" s="3356">
        <f>ROUND(SUM(X37:X37),1)</f>
        <v>0</v>
      </c>
      <c r="Y38" s="2348"/>
      <c r="Z38" s="3356">
        <f>ROUND(SUM(Z37:Z37),1)</f>
        <v>0</v>
      </c>
      <c r="AA38" s="2330"/>
      <c r="AB38" s="2348"/>
      <c r="AC38" s="3328"/>
      <c r="AD38" s="3356">
        <f>ROUND(SUM(AD37:AD37),1)</f>
        <v>0</v>
      </c>
      <c r="AE38" s="2348"/>
      <c r="AF38" s="3357"/>
      <c r="AG38" s="3333">
        <f>ROUND(SUM(AG37:AG37),1)</f>
        <v>120.2</v>
      </c>
      <c r="AH38" s="498"/>
      <c r="AI38" s="264"/>
      <c r="AJ38" s="249">
        <f>ROUND(SUM(AJ37:AJ37),1)</f>
        <v>-120.2</v>
      </c>
      <c r="AK38" s="399"/>
      <c r="AL38" s="2319">
        <f>ROUND(IF(AG38=0,0,AJ38/ABS(AG38)),3)</f>
        <v>-1</v>
      </c>
    </row>
    <row r="39" spans="1:39" ht="15" customHeight="1">
      <c r="A39" s="340"/>
      <c r="B39" s="1806"/>
      <c r="C39" s="218"/>
      <c r="D39" s="2502"/>
      <c r="E39" s="2502"/>
      <c r="F39" s="2502"/>
      <c r="G39" s="2502"/>
      <c r="H39" s="2502"/>
      <c r="I39" s="2502"/>
      <c r="J39" s="2502"/>
      <c r="K39" s="254"/>
      <c r="L39" s="254"/>
      <c r="M39" s="254"/>
      <c r="N39" s="254"/>
      <c r="O39" s="254"/>
      <c r="P39" s="3322"/>
      <c r="Q39" s="3322"/>
      <c r="R39" s="3322"/>
      <c r="S39" s="3322"/>
      <c r="T39" s="3322"/>
      <c r="U39" s="3322"/>
      <c r="V39" s="3322"/>
      <c r="W39" s="3322"/>
      <c r="X39" s="3322"/>
      <c r="Y39" s="3322"/>
      <c r="Z39" s="3322"/>
      <c r="AA39" s="3322"/>
      <c r="AB39" s="3322"/>
      <c r="AC39" s="3358"/>
      <c r="AD39" s="3323"/>
      <c r="AE39" s="3322"/>
      <c r="AF39" s="3358"/>
      <c r="AG39" s="3290"/>
      <c r="AH39" s="491"/>
      <c r="AI39" s="243"/>
      <c r="AJ39" s="1042"/>
      <c r="AK39" s="1583"/>
      <c r="AL39" s="2318"/>
    </row>
    <row r="40" spans="1:39" ht="15" customHeight="1">
      <c r="A40" s="340"/>
      <c r="B40" s="555" t="s">
        <v>1194</v>
      </c>
      <c r="C40" s="218"/>
      <c r="D40" s="3050">
        <f>ROUND(SUM(D17+D28+D35+D38),1)</f>
        <v>358.4</v>
      </c>
      <c r="E40" s="2502"/>
      <c r="F40" s="3050">
        <f>ROUND(SUM(F17+F28+F35+F38),1)</f>
        <v>0</v>
      </c>
      <c r="G40" s="2502"/>
      <c r="H40" s="3050">
        <f>ROUND(SUM(H17+H28+H35+H38),1)</f>
        <v>0</v>
      </c>
      <c r="I40" s="2502"/>
      <c r="J40" s="3050">
        <f>ROUND(SUM(J17+J28+J35+J38),1)</f>
        <v>0</v>
      </c>
      <c r="K40" s="254"/>
      <c r="L40" s="1772">
        <f>ROUND(SUM(L17+L28+L35+L38),1)</f>
        <v>0</v>
      </c>
      <c r="M40" s="254"/>
      <c r="N40" s="1772">
        <f>ROUND(SUM(N17+N28+N35+N38),1)</f>
        <v>0</v>
      </c>
      <c r="O40" s="254"/>
      <c r="P40" s="3359">
        <f>ROUND(SUM(P17+P28+P35+P38),1)</f>
        <v>0</v>
      </c>
      <c r="Q40" s="3322"/>
      <c r="R40" s="3359">
        <f>ROUND(SUM(R17+R28+R35+R38),1)</f>
        <v>0</v>
      </c>
      <c r="S40" s="3322"/>
      <c r="T40" s="3359">
        <f>ROUND(SUM(T17+T28+T35+T38),1)</f>
        <v>0</v>
      </c>
      <c r="U40" s="3322"/>
      <c r="V40" s="3359">
        <f>ROUND(SUM(V17+V28+V35+V38),1)</f>
        <v>0</v>
      </c>
      <c r="W40" s="3322"/>
      <c r="X40" s="3359">
        <f>ROUND(SUM(X17+X28+X35+X38),1)</f>
        <v>0</v>
      </c>
      <c r="Y40" s="3322"/>
      <c r="Z40" s="3359">
        <f>ROUND(SUM(Z17+Z28+Z35+Z38),1)</f>
        <v>0</v>
      </c>
      <c r="AA40" s="3360"/>
      <c r="AB40" s="3322"/>
      <c r="AC40" s="3361"/>
      <c r="AD40" s="3362">
        <f>ROUND(SUM(AD17+AD28+AD35+AD38),1)</f>
        <v>358.4</v>
      </c>
      <c r="AE40" s="3322"/>
      <c r="AF40" s="3361"/>
      <c r="AG40" s="3362">
        <f>ROUND(SUM(AG17+AG28+AG35+AG38),1)</f>
        <v>437.8</v>
      </c>
      <c r="AH40" s="495"/>
      <c r="AI40" s="243"/>
      <c r="AJ40" s="1772">
        <f>ROUND(SUM(AJ17+AJ28+AJ35+AJ38),1)</f>
        <v>-79.400000000000006</v>
      </c>
      <c r="AK40" s="1042"/>
      <c r="AL40" s="2331">
        <f>ROUND(IF(AG40=0,0,AJ40/ABS(AG40)),3)</f>
        <v>-0.18099999999999999</v>
      </c>
      <c r="AM40" s="1349"/>
    </row>
    <row r="41" spans="1:39" ht="15" customHeight="1">
      <c r="A41" s="340"/>
      <c r="B41" s="218"/>
      <c r="C41" s="218"/>
      <c r="D41" s="1188"/>
      <c r="E41" s="2502"/>
      <c r="F41" s="1188"/>
      <c r="G41" s="2502"/>
      <c r="H41" s="2502"/>
      <c r="I41" s="2502"/>
      <c r="J41" s="1188"/>
      <c r="K41" s="254"/>
      <c r="L41" s="265"/>
      <c r="M41" s="254"/>
      <c r="N41" s="265"/>
      <c r="O41" s="254"/>
      <c r="P41" s="3331"/>
      <c r="Q41" s="3322"/>
      <c r="R41" s="3331"/>
      <c r="S41" s="3322"/>
      <c r="T41" s="3331"/>
      <c r="U41" s="3322"/>
      <c r="V41" s="3331"/>
      <c r="W41" s="3322"/>
      <c r="X41" s="3331"/>
      <c r="Y41" s="3322"/>
      <c r="Z41" s="3331"/>
      <c r="AA41" s="3331"/>
      <c r="AB41" s="3322"/>
      <c r="AC41" s="3361"/>
      <c r="AD41" s="3363"/>
      <c r="AE41" s="3364"/>
      <c r="AF41" s="3325"/>
      <c r="AG41" s="3472"/>
      <c r="AH41" s="495"/>
      <c r="AI41" s="243"/>
      <c r="AJ41" s="1042"/>
      <c r="AK41" s="1042"/>
      <c r="AL41" s="2316"/>
      <c r="AM41" s="1349"/>
    </row>
    <row r="42" spans="1:39" ht="15" customHeight="1">
      <c r="A42" s="340"/>
      <c r="B42" s="467" t="s">
        <v>1128</v>
      </c>
      <c r="C42" s="218"/>
      <c r="D42" s="1188"/>
      <c r="E42" s="2502"/>
      <c r="F42" s="1188"/>
      <c r="G42" s="2502"/>
      <c r="H42" s="2502"/>
      <c r="I42" s="2502"/>
      <c r="J42" s="1188"/>
      <c r="K42" s="254"/>
      <c r="L42" s="265"/>
      <c r="M42" s="254"/>
      <c r="N42" s="265"/>
      <c r="O42" s="254"/>
      <c r="P42" s="3331"/>
      <c r="Q42" s="3322"/>
      <c r="R42" s="3331"/>
      <c r="S42" s="3322"/>
      <c r="T42" s="3331"/>
      <c r="U42" s="3322"/>
      <c r="V42" s="3331"/>
      <c r="W42" s="3322"/>
      <c r="X42" s="3331"/>
      <c r="Y42" s="3322"/>
      <c r="Z42" s="3331"/>
      <c r="AA42" s="3331"/>
      <c r="AB42" s="3322"/>
      <c r="AC42" s="3361"/>
      <c r="AD42" s="3322"/>
      <c r="AE42" s="3322"/>
      <c r="AF42" s="3325"/>
      <c r="AG42" s="3311"/>
      <c r="AH42" s="491"/>
      <c r="AI42" s="243"/>
      <c r="AJ42" s="1042"/>
      <c r="AK42" s="1042"/>
      <c r="AL42" s="2316"/>
      <c r="AM42" s="1349"/>
    </row>
    <row r="43" spans="1:39" ht="15" customHeight="1">
      <c r="A43" s="340"/>
      <c r="B43" s="1541" t="s">
        <v>1253</v>
      </c>
      <c r="C43" s="218"/>
      <c r="D43" s="1188"/>
      <c r="E43" s="2502"/>
      <c r="F43" s="1188"/>
      <c r="G43" s="2502"/>
      <c r="H43" s="2502"/>
      <c r="I43" s="2502"/>
      <c r="J43" s="1188"/>
      <c r="K43" s="254"/>
      <c r="L43" s="265"/>
      <c r="M43" s="254"/>
      <c r="N43" s="265"/>
      <c r="O43" s="254"/>
      <c r="P43" s="3331"/>
      <c r="Q43" s="3322"/>
      <c r="R43" s="3331"/>
      <c r="S43" s="3322"/>
      <c r="T43" s="3331"/>
      <c r="U43" s="3322"/>
      <c r="V43" s="3331"/>
      <c r="W43" s="3322"/>
      <c r="X43" s="3331"/>
      <c r="Y43" s="3322"/>
      <c r="Z43" s="3331"/>
      <c r="AA43" s="3331"/>
      <c r="AB43" s="3322"/>
      <c r="AC43" s="3361"/>
      <c r="AD43" s="3322"/>
      <c r="AE43" s="3322"/>
      <c r="AF43" s="3325"/>
      <c r="AG43" s="3311"/>
      <c r="AH43" s="491"/>
      <c r="AI43" s="243"/>
      <c r="AJ43" s="1042"/>
      <c r="AK43" s="1042"/>
      <c r="AL43" s="2316"/>
      <c r="AM43" s="1349"/>
    </row>
    <row r="44" spans="1:39" s="1536" customFormat="1" ht="15" customHeight="1">
      <c r="A44" s="1792"/>
      <c r="B44" s="1541" t="s">
        <v>1161</v>
      </c>
      <c r="C44" s="296"/>
      <c r="D44" s="1545">
        <f>$AD44</f>
        <v>0.7</v>
      </c>
      <c r="E44" s="1544"/>
      <c r="F44" s="1545"/>
      <c r="G44" s="1544"/>
      <c r="H44" s="1545"/>
      <c r="I44" s="1544"/>
      <c r="J44" s="1545"/>
      <c r="K44" s="2509"/>
      <c r="L44" s="2743"/>
      <c r="M44" s="2509"/>
      <c r="N44" s="2743"/>
      <c r="O44" s="2509"/>
      <c r="P44" s="2914"/>
      <c r="Q44" s="3314"/>
      <c r="R44" s="2914"/>
      <c r="S44" s="3314"/>
      <c r="T44" s="2914"/>
      <c r="U44" s="3314"/>
      <c r="V44" s="2914"/>
      <c r="W44" s="3314"/>
      <c r="X44" s="2914"/>
      <c r="Y44" s="3314"/>
      <c r="Z44" s="2914"/>
      <c r="AA44" s="3315"/>
      <c r="AB44" s="3316"/>
      <c r="AC44" s="3318"/>
      <c r="AD44" s="2914">
        <v>0.7</v>
      </c>
      <c r="AE44" s="3354"/>
      <c r="AF44" s="3355"/>
      <c r="AG44" s="2914">
        <v>0.7</v>
      </c>
      <c r="AH44" s="1795"/>
      <c r="AI44" s="255"/>
      <c r="AJ44" s="1544">
        <f t="shared" ref="AJ44:AJ81" si="5">ROUND(SUM(+AD44-AG44),1)</f>
        <v>0</v>
      </c>
      <c r="AK44" s="1544"/>
      <c r="AL44" s="2972">
        <f>ROUND(IF(AG44=0,0,AJ44/ABS(AG44)),3)</f>
        <v>0</v>
      </c>
      <c r="AM44" s="2973"/>
    </row>
    <row r="45" spans="1:39" s="1536" customFormat="1" ht="15" customHeight="1">
      <c r="A45" s="1792"/>
      <c r="B45" s="1541" t="s">
        <v>1254</v>
      </c>
      <c r="C45" s="296"/>
      <c r="D45" s="1545" t="s">
        <v>15</v>
      </c>
      <c r="E45" s="2502"/>
      <c r="F45" s="1545"/>
      <c r="G45" s="2502"/>
      <c r="H45" s="1545"/>
      <c r="I45" s="2502"/>
      <c r="J45" s="1545"/>
      <c r="K45" s="307"/>
      <c r="L45" s="2743"/>
      <c r="M45" s="1544"/>
      <c r="N45" s="2743"/>
      <c r="O45" s="307"/>
      <c r="P45" s="2914"/>
      <c r="Q45" s="3311"/>
      <c r="R45" s="2914"/>
      <c r="S45" s="3311"/>
      <c r="T45" s="2914"/>
      <c r="U45" s="3311"/>
      <c r="V45" s="2914"/>
      <c r="W45" s="3311"/>
      <c r="X45" s="2914"/>
      <c r="Y45" s="3311"/>
      <c r="Z45" s="2914"/>
      <c r="AA45" s="3310"/>
      <c r="AB45" s="3311"/>
      <c r="AC45" s="3365"/>
      <c r="AD45" s="3311"/>
      <c r="AE45" s="3311"/>
      <c r="AF45" s="3313"/>
      <c r="AG45" s="3311"/>
      <c r="AH45" s="1795"/>
      <c r="AI45" s="255"/>
      <c r="AJ45" s="1544"/>
      <c r="AK45" s="1544"/>
      <c r="AL45" s="2972"/>
      <c r="AM45" s="2973"/>
    </row>
    <row r="46" spans="1:39" s="1536" customFormat="1" ht="15" customHeight="1">
      <c r="A46" s="1792"/>
      <c r="B46" s="1541" t="s">
        <v>1163</v>
      </c>
      <c r="C46" s="296"/>
      <c r="D46" s="1545">
        <f t="shared" ref="D46:D81" si="6">$AD46</f>
        <v>83.4</v>
      </c>
      <c r="E46" s="2502"/>
      <c r="F46" s="1545"/>
      <c r="G46" s="2502"/>
      <c r="H46" s="1545"/>
      <c r="I46" s="2502"/>
      <c r="J46" s="1545"/>
      <c r="K46" s="2509"/>
      <c r="L46" s="2743"/>
      <c r="M46" s="2509"/>
      <c r="N46" s="2743"/>
      <c r="O46" s="2509"/>
      <c r="P46" s="2914"/>
      <c r="Q46" s="3314"/>
      <c r="R46" s="2914"/>
      <c r="S46" s="3314"/>
      <c r="T46" s="2914"/>
      <c r="U46" s="3314"/>
      <c r="V46" s="2914"/>
      <c r="W46" s="3314"/>
      <c r="X46" s="2914"/>
      <c r="Y46" s="3314"/>
      <c r="Z46" s="2914"/>
      <c r="AA46" s="3315"/>
      <c r="AB46" s="3316"/>
      <c r="AC46" s="3318"/>
      <c r="AD46" s="2914">
        <v>83.4</v>
      </c>
      <c r="AE46" s="3354"/>
      <c r="AF46" s="3355"/>
      <c r="AG46" s="2914">
        <v>14.4</v>
      </c>
      <c r="AH46" s="1795"/>
      <c r="AI46" s="255"/>
      <c r="AJ46" s="1544">
        <f t="shared" si="5"/>
        <v>69</v>
      </c>
      <c r="AK46" s="1544"/>
      <c r="AL46" s="2972">
        <f>ROUND(IF(AG46=0,0,AJ46/ABS(AG46)),3)</f>
        <v>4.7919999999999998</v>
      </c>
      <c r="AM46" s="2973"/>
    </row>
    <row r="47" spans="1:39" s="1536" customFormat="1" ht="15" customHeight="1">
      <c r="A47" s="1792"/>
      <c r="B47" s="1541" t="s">
        <v>1164</v>
      </c>
      <c r="C47" s="296"/>
      <c r="D47" s="1545">
        <f t="shared" si="6"/>
        <v>524.29999999999995</v>
      </c>
      <c r="E47" s="2502"/>
      <c r="F47" s="1545"/>
      <c r="G47" s="2502"/>
      <c r="H47" s="1545"/>
      <c r="I47" s="2502"/>
      <c r="J47" s="1545"/>
      <c r="K47" s="2509"/>
      <c r="L47" s="2743"/>
      <c r="M47" s="2509"/>
      <c r="N47" s="2743"/>
      <c r="O47" s="2509"/>
      <c r="P47" s="2914"/>
      <c r="Q47" s="3314"/>
      <c r="R47" s="2914"/>
      <c r="S47" s="3314"/>
      <c r="T47" s="2914"/>
      <c r="U47" s="3314"/>
      <c r="V47" s="2914"/>
      <c r="W47" s="3314"/>
      <c r="X47" s="2914"/>
      <c r="Y47" s="3314"/>
      <c r="Z47" s="2914"/>
      <c r="AA47" s="3315"/>
      <c r="AB47" s="3316"/>
      <c r="AC47" s="3318"/>
      <c r="AD47" s="2914">
        <v>524.29999999999995</v>
      </c>
      <c r="AE47" s="3354"/>
      <c r="AF47" s="3355"/>
      <c r="AG47" s="2914">
        <v>460.4</v>
      </c>
      <c r="AH47" s="1795"/>
      <c r="AI47" s="255"/>
      <c r="AJ47" s="1544">
        <f t="shared" si="5"/>
        <v>63.9</v>
      </c>
      <c r="AK47" s="1544"/>
      <c r="AL47" s="2972">
        <f>ROUND(IF(AG47=0,0,AJ47/ABS(AG47)),3)</f>
        <v>0.13900000000000001</v>
      </c>
      <c r="AM47" s="2973"/>
    </row>
    <row r="48" spans="1:39" ht="15" customHeight="1">
      <c r="A48" s="340"/>
      <c r="B48" s="1541" t="s">
        <v>1165</v>
      </c>
      <c r="C48" s="218"/>
      <c r="D48" s="1545">
        <f t="shared" si="6"/>
        <v>1.8</v>
      </c>
      <c r="E48" s="2502"/>
      <c r="F48" s="1545"/>
      <c r="G48" s="2502"/>
      <c r="H48" s="1545"/>
      <c r="I48" s="2502"/>
      <c r="J48" s="1545"/>
      <c r="K48" s="2509"/>
      <c r="L48" s="2743"/>
      <c r="M48" s="2509"/>
      <c r="N48" s="2743"/>
      <c r="O48" s="2509"/>
      <c r="P48" s="2914"/>
      <c r="Q48" s="3314"/>
      <c r="R48" s="2914"/>
      <c r="S48" s="3314"/>
      <c r="T48" s="2914"/>
      <c r="U48" s="3314"/>
      <c r="V48" s="2914"/>
      <c r="W48" s="3314"/>
      <c r="X48" s="2914"/>
      <c r="Y48" s="3314"/>
      <c r="Z48" s="2914"/>
      <c r="AA48" s="3315"/>
      <c r="AB48" s="3316"/>
      <c r="AC48" s="3318"/>
      <c r="AD48" s="2914">
        <v>1.8</v>
      </c>
      <c r="AE48" s="3354"/>
      <c r="AF48" s="3355"/>
      <c r="AG48" s="2914">
        <v>1.4</v>
      </c>
      <c r="AH48" s="491"/>
      <c r="AI48" s="243"/>
      <c r="AJ48" s="1042">
        <f t="shared" si="5"/>
        <v>0.4</v>
      </c>
      <c r="AK48" s="1042"/>
      <c r="AL48" s="2316">
        <f>ROUND(IF(AG48=0,0,AJ48/ABS(AG48)),3)</f>
        <v>0.28599999999999998</v>
      </c>
      <c r="AM48" s="1349"/>
    </row>
    <row r="49" spans="1:39" ht="15" customHeight="1">
      <c r="A49" s="340"/>
      <c r="B49" s="1541" t="s">
        <v>1166</v>
      </c>
      <c r="C49" s="218"/>
      <c r="D49" s="1545">
        <f t="shared" si="6"/>
        <v>0</v>
      </c>
      <c r="E49" s="2502"/>
      <c r="F49" s="1545"/>
      <c r="G49" s="2502"/>
      <c r="H49" s="1545"/>
      <c r="I49" s="2502"/>
      <c r="J49" s="1545"/>
      <c r="K49" s="2509"/>
      <c r="L49" s="2743"/>
      <c r="M49" s="2509"/>
      <c r="N49" s="2743"/>
      <c r="O49" s="2509"/>
      <c r="P49" s="2914"/>
      <c r="Q49" s="3314"/>
      <c r="R49" s="2914"/>
      <c r="S49" s="3314"/>
      <c r="T49" s="2914"/>
      <c r="U49" s="3314"/>
      <c r="V49" s="2914"/>
      <c r="W49" s="3314"/>
      <c r="X49" s="2914"/>
      <c r="Y49" s="3314"/>
      <c r="Z49" s="2914"/>
      <c r="AA49" s="3315"/>
      <c r="AB49" s="3316"/>
      <c r="AC49" s="3318"/>
      <c r="AD49" s="2914">
        <v>0</v>
      </c>
      <c r="AE49" s="3354"/>
      <c r="AF49" s="3355"/>
      <c r="AG49" s="2914">
        <v>0.9</v>
      </c>
      <c r="AH49" s="491"/>
      <c r="AI49" s="243"/>
      <c r="AJ49" s="1042">
        <f t="shared" si="5"/>
        <v>-0.9</v>
      </c>
      <c r="AK49" s="1042"/>
      <c r="AL49" s="2316">
        <f>ROUND(IF(AG49=0,0,AJ49/ABS(AG49)),3)</f>
        <v>-1</v>
      </c>
      <c r="AM49" s="1349"/>
    </row>
    <row r="50" spans="1:39" s="1536" customFormat="1" ht="15" customHeight="1">
      <c r="A50" s="1792"/>
      <c r="B50" s="1541" t="s">
        <v>1259</v>
      </c>
      <c r="C50" s="296"/>
      <c r="D50" s="1545" t="s">
        <v>15</v>
      </c>
      <c r="E50" s="2502"/>
      <c r="F50" s="1545"/>
      <c r="G50" s="2502"/>
      <c r="H50" s="1545"/>
      <c r="I50" s="2502"/>
      <c r="J50" s="1545"/>
      <c r="K50" s="307"/>
      <c r="L50" s="2743"/>
      <c r="M50" s="307"/>
      <c r="N50" s="2743"/>
      <c r="O50" s="307"/>
      <c r="P50" s="2914"/>
      <c r="Q50" s="3311"/>
      <c r="R50" s="2914"/>
      <c r="S50" s="3311"/>
      <c r="T50" s="2914"/>
      <c r="U50" s="3311"/>
      <c r="V50" s="2914"/>
      <c r="W50" s="3311"/>
      <c r="X50" s="2914"/>
      <c r="Y50" s="3311"/>
      <c r="Z50" s="2914"/>
      <c r="AA50" s="3310"/>
      <c r="AB50" s="3311"/>
      <c r="AC50" s="3365"/>
      <c r="AD50" s="3366"/>
      <c r="AE50" s="3311"/>
      <c r="AF50" s="3313"/>
      <c r="AG50" s="3366"/>
      <c r="AH50" s="1795"/>
      <c r="AI50" s="255"/>
      <c r="AJ50" s="1544"/>
      <c r="AK50" s="1544"/>
      <c r="AL50" s="2972"/>
      <c r="AM50" s="2973"/>
    </row>
    <row r="51" spans="1:39" s="1536" customFormat="1" ht="15" customHeight="1">
      <c r="A51" s="1792"/>
      <c r="B51" s="1541" t="s">
        <v>1367</v>
      </c>
      <c r="C51" s="296"/>
      <c r="D51" s="1545">
        <f t="shared" si="6"/>
        <v>0</v>
      </c>
      <c r="E51" s="2502"/>
      <c r="F51" s="1545"/>
      <c r="G51" s="2502"/>
      <c r="H51" s="1545"/>
      <c r="I51" s="2502"/>
      <c r="J51" s="1545"/>
      <c r="K51" s="2509"/>
      <c r="L51" s="2743"/>
      <c r="M51" s="2509"/>
      <c r="N51" s="2743"/>
      <c r="O51" s="2509"/>
      <c r="P51" s="2914"/>
      <c r="Q51" s="3314"/>
      <c r="R51" s="2914"/>
      <c r="S51" s="3314"/>
      <c r="T51" s="2914"/>
      <c r="U51" s="3314"/>
      <c r="V51" s="2914"/>
      <c r="W51" s="3314"/>
      <c r="X51" s="2914"/>
      <c r="Y51" s="3314"/>
      <c r="Z51" s="2914"/>
      <c r="AA51" s="3315"/>
      <c r="AB51" s="3316"/>
      <c r="AC51" s="3318"/>
      <c r="AD51" s="2914">
        <v>0</v>
      </c>
      <c r="AE51" s="3354"/>
      <c r="AF51" s="3355"/>
      <c r="AG51" s="2914">
        <v>0</v>
      </c>
      <c r="AH51" s="1795"/>
      <c r="AI51" s="255"/>
      <c r="AJ51" s="1544">
        <f>ROUND(SUM(+AD51-AG51),1)</f>
        <v>0</v>
      </c>
      <c r="AK51" s="1544"/>
      <c r="AL51" s="2843">
        <f>ROUND(IF(AG51=0,0,AJ51/ABS(AG51)),3)</f>
        <v>0</v>
      </c>
      <c r="AM51" s="2973"/>
    </row>
    <row r="52" spans="1:39" s="1536" customFormat="1" ht="15" customHeight="1">
      <c r="A52" s="1792"/>
      <c r="B52" s="1541" t="s">
        <v>1167</v>
      </c>
      <c r="C52" s="296"/>
      <c r="D52" s="1545">
        <f t="shared" si="6"/>
        <v>37.1</v>
      </c>
      <c r="E52" s="2502"/>
      <c r="F52" s="1545"/>
      <c r="G52" s="2502"/>
      <c r="H52" s="1545"/>
      <c r="I52" s="2502"/>
      <c r="J52" s="1545"/>
      <c r="K52" s="2509"/>
      <c r="L52" s="2743"/>
      <c r="M52" s="2509"/>
      <c r="N52" s="2743"/>
      <c r="O52" s="2509"/>
      <c r="P52" s="2914"/>
      <c r="Q52" s="3314"/>
      <c r="R52" s="2914"/>
      <c r="S52" s="3314"/>
      <c r="T52" s="2914"/>
      <c r="U52" s="3314"/>
      <c r="V52" s="2914"/>
      <c r="W52" s="3314"/>
      <c r="X52" s="2914"/>
      <c r="Y52" s="3314"/>
      <c r="Z52" s="2914"/>
      <c r="AA52" s="3315"/>
      <c r="AB52" s="3316"/>
      <c r="AC52" s="3318"/>
      <c r="AD52" s="2914">
        <v>37.1</v>
      </c>
      <c r="AE52" s="3354"/>
      <c r="AF52" s="3355"/>
      <c r="AG52" s="2914">
        <v>46.3</v>
      </c>
      <c r="AH52" s="1795"/>
      <c r="AI52" s="255"/>
      <c r="AJ52" s="1544">
        <f t="shared" si="5"/>
        <v>-9.1999999999999993</v>
      </c>
      <c r="AK52" s="1544"/>
      <c r="AL52" s="2972">
        <f t="shared" ref="AL52:AL57" si="7">ROUND(IF(AG52=0,0,AJ52/ABS(AG52)),3)</f>
        <v>-0.19900000000000001</v>
      </c>
      <c r="AM52" s="2973"/>
    </row>
    <row r="53" spans="1:39" s="1536" customFormat="1" ht="15" customHeight="1">
      <c r="A53" s="1792"/>
      <c r="B53" s="1541" t="s">
        <v>1168</v>
      </c>
      <c r="C53" s="296"/>
      <c r="D53" s="1545">
        <f t="shared" si="6"/>
        <v>4.5999999999999996</v>
      </c>
      <c r="E53" s="2502"/>
      <c r="F53" s="1545"/>
      <c r="G53" s="2502"/>
      <c r="H53" s="1545"/>
      <c r="I53" s="2502"/>
      <c r="J53" s="1545"/>
      <c r="K53" s="2509"/>
      <c r="L53" s="2743"/>
      <c r="M53" s="2509"/>
      <c r="N53" s="2743"/>
      <c r="O53" s="2509"/>
      <c r="P53" s="2914"/>
      <c r="Q53" s="3314"/>
      <c r="R53" s="2914"/>
      <c r="S53" s="3314"/>
      <c r="T53" s="2914"/>
      <c r="U53" s="3314"/>
      <c r="V53" s="2914"/>
      <c r="W53" s="3314"/>
      <c r="X53" s="2914"/>
      <c r="Y53" s="3314"/>
      <c r="Z53" s="2914"/>
      <c r="AA53" s="3315"/>
      <c r="AB53" s="3316"/>
      <c r="AC53" s="3318"/>
      <c r="AD53" s="2914">
        <v>4.5999999999999996</v>
      </c>
      <c r="AE53" s="3354"/>
      <c r="AF53" s="3355"/>
      <c r="AG53" s="2914">
        <v>4.9000000000000004</v>
      </c>
      <c r="AH53" s="1795"/>
      <c r="AI53" s="255"/>
      <c r="AJ53" s="1544">
        <f t="shared" si="5"/>
        <v>-0.3</v>
      </c>
      <c r="AK53" s="1544"/>
      <c r="AL53" s="2972">
        <f t="shared" si="7"/>
        <v>-6.0999999999999999E-2</v>
      </c>
      <c r="AM53" s="2973"/>
    </row>
    <row r="54" spans="1:39" s="1536" customFormat="1" ht="15" customHeight="1">
      <c r="A54" s="1792"/>
      <c r="B54" s="1541" t="s">
        <v>1169</v>
      </c>
      <c r="C54" s="296"/>
      <c r="D54" s="1545">
        <f t="shared" si="6"/>
        <v>0.3</v>
      </c>
      <c r="E54" s="2502"/>
      <c r="F54" s="1545"/>
      <c r="G54" s="2502"/>
      <c r="H54" s="1545"/>
      <c r="I54" s="2502"/>
      <c r="J54" s="1545"/>
      <c r="K54" s="2509"/>
      <c r="L54" s="2743"/>
      <c r="M54" s="2509"/>
      <c r="N54" s="2743"/>
      <c r="O54" s="2509"/>
      <c r="P54" s="2914"/>
      <c r="Q54" s="3314"/>
      <c r="R54" s="2914"/>
      <c r="S54" s="3314"/>
      <c r="T54" s="2914"/>
      <c r="U54" s="3314"/>
      <c r="V54" s="2914"/>
      <c r="W54" s="3314"/>
      <c r="X54" s="2914"/>
      <c r="Y54" s="3314"/>
      <c r="Z54" s="2914"/>
      <c r="AA54" s="3315"/>
      <c r="AB54" s="3316"/>
      <c r="AC54" s="3318"/>
      <c r="AD54" s="2914">
        <v>0.3</v>
      </c>
      <c r="AE54" s="3354"/>
      <c r="AF54" s="3355"/>
      <c r="AG54" s="2914">
        <v>0</v>
      </c>
      <c r="AH54" s="1795"/>
      <c r="AI54" s="255"/>
      <c r="AJ54" s="1544">
        <f t="shared" si="5"/>
        <v>0.3</v>
      </c>
      <c r="AK54" s="1544"/>
      <c r="AL54" s="2972">
        <f>ROUND(IF(AG54=0,1,AJ54/ABS(AG54)),3)</f>
        <v>1</v>
      </c>
      <c r="AM54" s="2973"/>
    </row>
    <row r="55" spans="1:39" s="1536" customFormat="1" ht="15" customHeight="1">
      <c r="A55" s="1792"/>
      <c r="B55" s="1541" t="s">
        <v>1170</v>
      </c>
      <c r="C55" s="296"/>
      <c r="D55" s="1545">
        <f t="shared" si="6"/>
        <v>44.9</v>
      </c>
      <c r="E55" s="2502"/>
      <c r="F55" s="1545"/>
      <c r="G55" s="2502"/>
      <c r="H55" s="1545"/>
      <c r="I55" s="2502"/>
      <c r="J55" s="1545"/>
      <c r="K55" s="2509"/>
      <c r="L55" s="2743"/>
      <c r="M55" s="2509"/>
      <c r="N55" s="2743"/>
      <c r="O55" s="2509"/>
      <c r="P55" s="2914"/>
      <c r="Q55" s="3314"/>
      <c r="R55" s="2914"/>
      <c r="S55" s="3314"/>
      <c r="T55" s="2914"/>
      <c r="U55" s="3314"/>
      <c r="V55" s="2914"/>
      <c r="W55" s="3314"/>
      <c r="X55" s="2914"/>
      <c r="Y55" s="3314"/>
      <c r="Z55" s="2914"/>
      <c r="AA55" s="3315"/>
      <c r="AB55" s="3316"/>
      <c r="AC55" s="3318"/>
      <c r="AD55" s="2914">
        <v>44.9</v>
      </c>
      <c r="AE55" s="3354"/>
      <c r="AF55" s="3355"/>
      <c r="AG55" s="2914">
        <v>42.9</v>
      </c>
      <c r="AH55" s="1795"/>
      <c r="AI55" s="255"/>
      <c r="AJ55" s="1544">
        <f t="shared" si="5"/>
        <v>2</v>
      </c>
      <c r="AK55" s="1544"/>
      <c r="AL55" s="2972">
        <f t="shared" si="7"/>
        <v>4.7E-2</v>
      </c>
      <c r="AM55" s="2973"/>
    </row>
    <row r="56" spans="1:39" s="1536" customFormat="1" ht="15" customHeight="1">
      <c r="A56" s="1792"/>
      <c r="B56" s="1541" t="s">
        <v>1171</v>
      </c>
      <c r="C56" s="296"/>
      <c r="D56" s="1545">
        <f t="shared" si="6"/>
        <v>43.300000000000004</v>
      </c>
      <c r="E56" s="2502"/>
      <c r="F56" s="1545"/>
      <c r="G56" s="2502"/>
      <c r="H56" s="1545"/>
      <c r="I56" s="2502"/>
      <c r="J56" s="1545"/>
      <c r="K56" s="2509"/>
      <c r="L56" s="2743"/>
      <c r="M56" s="2509"/>
      <c r="N56" s="2743"/>
      <c r="O56" s="2509"/>
      <c r="P56" s="2914"/>
      <c r="Q56" s="3314"/>
      <c r="R56" s="2914"/>
      <c r="S56" s="3314"/>
      <c r="T56" s="2914"/>
      <c r="U56" s="3314"/>
      <c r="V56" s="2914"/>
      <c r="W56" s="3314"/>
      <c r="X56" s="2914"/>
      <c r="Y56" s="3314"/>
      <c r="Z56" s="2914"/>
      <c r="AA56" s="3315"/>
      <c r="AB56" s="3316"/>
      <c r="AC56" s="3318"/>
      <c r="AD56" s="2914">
        <v>43.300000000000004</v>
      </c>
      <c r="AE56" s="3354"/>
      <c r="AF56" s="3355"/>
      <c r="AG56" s="2914">
        <v>42.5</v>
      </c>
      <c r="AH56" s="1795"/>
      <c r="AI56" s="255"/>
      <c r="AJ56" s="1544">
        <f t="shared" si="5"/>
        <v>0.8</v>
      </c>
      <c r="AK56" s="1544"/>
      <c r="AL56" s="2972">
        <f t="shared" si="7"/>
        <v>1.9E-2</v>
      </c>
      <c r="AM56" s="2973"/>
    </row>
    <row r="57" spans="1:39" s="1536" customFormat="1" ht="15" customHeight="1">
      <c r="A57" s="1792"/>
      <c r="B57" s="1541" t="s">
        <v>1129</v>
      </c>
      <c r="C57" s="296"/>
      <c r="D57" s="1545">
        <f t="shared" si="6"/>
        <v>52.000000000000007</v>
      </c>
      <c r="E57" s="2502"/>
      <c r="F57" s="1545"/>
      <c r="G57" s="2502"/>
      <c r="H57" s="1545"/>
      <c r="I57" s="2502"/>
      <c r="J57" s="1545"/>
      <c r="K57" s="2509"/>
      <c r="L57" s="2743"/>
      <c r="M57" s="2509"/>
      <c r="N57" s="2743"/>
      <c r="O57" s="2509"/>
      <c r="P57" s="2914"/>
      <c r="Q57" s="3314"/>
      <c r="R57" s="2914"/>
      <c r="S57" s="3314"/>
      <c r="T57" s="2914"/>
      <c r="U57" s="3314"/>
      <c r="V57" s="2914"/>
      <c r="W57" s="3314"/>
      <c r="X57" s="2914"/>
      <c r="Y57" s="3314"/>
      <c r="Z57" s="2914"/>
      <c r="AA57" s="3315"/>
      <c r="AB57" s="3316"/>
      <c r="AC57" s="3318"/>
      <c r="AD57" s="2914">
        <v>52.000000000000007</v>
      </c>
      <c r="AE57" s="3354"/>
      <c r="AF57" s="3355"/>
      <c r="AG57" s="2914">
        <v>6.5</v>
      </c>
      <c r="AH57" s="1795"/>
      <c r="AI57" s="255"/>
      <c r="AJ57" s="1544">
        <f t="shared" si="5"/>
        <v>45.5</v>
      </c>
      <c r="AK57" s="1544"/>
      <c r="AL57" s="2849">
        <f t="shared" si="7"/>
        <v>7</v>
      </c>
      <c r="AM57" s="2973"/>
    </row>
    <row r="58" spans="1:39" s="1536" customFormat="1" ht="15" customHeight="1">
      <c r="A58" s="1792"/>
      <c r="B58" s="1541" t="s">
        <v>1256</v>
      </c>
      <c r="C58" s="296"/>
      <c r="D58" s="1545" t="s">
        <v>15</v>
      </c>
      <c r="E58" s="2502"/>
      <c r="F58" s="1545"/>
      <c r="G58" s="2502"/>
      <c r="H58" s="1545"/>
      <c r="I58" s="2502"/>
      <c r="J58" s="1545"/>
      <c r="K58" s="307"/>
      <c r="L58" s="2743"/>
      <c r="M58" s="307"/>
      <c r="N58" s="2743"/>
      <c r="O58" s="307"/>
      <c r="P58" s="2914"/>
      <c r="Q58" s="3311"/>
      <c r="R58" s="2914"/>
      <c r="S58" s="3311"/>
      <c r="T58" s="2914"/>
      <c r="U58" s="3311"/>
      <c r="V58" s="2914"/>
      <c r="W58" s="3311"/>
      <c r="X58" s="2914"/>
      <c r="Y58" s="3311"/>
      <c r="Z58" s="2914"/>
      <c r="AA58" s="3310"/>
      <c r="AB58" s="3311"/>
      <c r="AC58" s="3365"/>
      <c r="AD58" s="3311"/>
      <c r="AE58" s="3311"/>
      <c r="AF58" s="3313"/>
      <c r="AG58" s="3311"/>
      <c r="AH58" s="1795"/>
      <c r="AI58" s="255"/>
      <c r="AJ58" s="1544"/>
      <c r="AK58" s="1544"/>
      <c r="AL58" s="2972"/>
      <c r="AM58" s="2973"/>
    </row>
    <row r="59" spans="1:39" s="1536" customFormat="1" ht="15" customHeight="1">
      <c r="A59" s="1792"/>
      <c r="B59" s="1541" t="s">
        <v>1172</v>
      </c>
      <c r="C59" s="296"/>
      <c r="D59" s="1545">
        <f t="shared" si="6"/>
        <v>28.2</v>
      </c>
      <c r="E59" s="2502"/>
      <c r="F59" s="1545"/>
      <c r="G59" s="2502"/>
      <c r="H59" s="1545"/>
      <c r="I59" s="2502"/>
      <c r="J59" s="1545"/>
      <c r="K59" s="2509"/>
      <c r="L59" s="2743"/>
      <c r="M59" s="2509"/>
      <c r="N59" s="2743"/>
      <c r="O59" s="2509"/>
      <c r="P59" s="2914"/>
      <c r="Q59" s="3314"/>
      <c r="R59" s="2914"/>
      <c r="S59" s="3314"/>
      <c r="T59" s="2914"/>
      <c r="U59" s="3314"/>
      <c r="V59" s="2914"/>
      <c r="W59" s="3314"/>
      <c r="X59" s="2914"/>
      <c r="Y59" s="3314"/>
      <c r="Z59" s="2914"/>
      <c r="AA59" s="3315"/>
      <c r="AB59" s="3316"/>
      <c r="AC59" s="3318"/>
      <c r="AD59" s="2914">
        <v>28.2</v>
      </c>
      <c r="AE59" s="3354"/>
      <c r="AF59" s="3355"/>
      <c r="AG59" s="2914">
        <v>22.7</v>
      </c>
      <c r="AH59" s="1795"/>
      <c r="AI59" s="255"/>
      <c r="AJ59" s="1544">
        <f t="shared" si="5"/>
        <v>5.5</v>
      </c>
      <c r="AK59" s="1544"/>
      <c r="AL59" s="2849">
        <f>ROUND(IF(AG59=0,0,AJ59/ABS(AG59)),3)</f>
        <v>0.24199999999999999</v>
      </c>
      <c r="AM59" s="2973"/>
    </row>
    <row r="60" spans="1:39" s="1536" customFormat="1" ht="15" customHeight="1">
      <c r="A60" s="1792"/>
      <c r="B60" s="1541" t="s">
        <v>1173</v>
      </c>
      <c r="C60" s="296"/>
      <c r="D60" s="1545">
        <f t="shared" si="6"/>
        <v>199</v>
      </c>
      <c r="E60" s="2502"/>
      <c r="F60" s="1545"/>
      <c r="G60" s="2502"/>
      <c r="H60" s="1545"/>
      <c r="I60" s="2502"/>
      <c r="J60" s="1545"/>
      <c r="K60" s="2509"/>
      <c r="L60" s="2743"/>
      <c r="M60" s="2509"/>
      <c r="N60" s="2743"/>
      <c r="O60" s="2509"/>
      <c r="P60" s="2914"/>
      <c r="Q60" s="3314"/>
      <c r="R60" s="2914"/>
      <c r="S60" s="3314"/>
      <c r="T60" s="2914"/>
      <c r="U60" s="3314"/>
      <c r="V60" s="2914"/>
      <c r="W60" s="3314"/>
      <c r="X60" s="2914"/>
      <c r="Y60" s="3314"/>
      <c r="Z60" s="2914"/>
      <c r="AA60" s="3315"/>
      <c r="AB60" s="3316"/>
      <c r="AC60" s="3318"/>
      <c r="AD60" s="2914">
        <v>199</v>
      </c>
      <c r="AE60" s="3354"/>
      <c r="AF60" s="3355"/>
      <c r="AG60" s="2914">
        <v>190.4</v>
      </c>
      <c r="AH60" s="1795"/>
      <c r="AI60" s="255"/>
      <c r="AJ60" s="1544">
        <f t="shared" si="5"/>
        <v>8.6</v>
      </c>
      <c r="AK60" s="1544"/>
      <c r="AL60" s="2972">
        <f>ROUND(IF(AG60=0,0,AJ60/ABS(AG60)),3)</f>
        <v>4.4999999999999998E-2</v>
      </c>
      <c r="AM60" s="2973"/>
    </row>
    <row r="61" spans="1:39" s="1536" customFormat="1" ht="15" customHeight="1">
      <c r="A61" s="1792"/>
      <c r="B61" s="1541" t="s">
        <v>1174</v>
      </c>
      <c r="C61" s="296"/>
      <c r="D61" s="1545">
        <f t="shared" si="6"/>
        <v>75.099999999999994</v>
      </c>
      <c r="E61" s="2502"/>
      <c r="F61" s="1545"/>
      <c r="G61" s="2502"/>
      <c r="H61" s="1545"/>
      <c r="I61" s="2502"/>
      <c r="J61" s="1545"/>
      <c r="K61" s="2509"/>
      <c r="L61" s="2743"/>
      <c r="M61" s="2509"/>
      <c r="N61" s="2743"/>
      <c r="O61" s="2509"/>
      <c r="P61" s="2914"/>
      <c r="Q61" s="3314"/>
      <c r="R61" s="2914"/>
      <c r="S61" s="3314"/>
      <c r="T61" s="2914"/>
      <c r="U61" s="3314"/>
      <c r="V61" s="2914"/>
      <c r="W61" s="3314"/>
      <c r="X61" s="2914"/>
      <c r="Y61" s="3314"/>
      <c r="Z61" s="2914"/>
      <c r="AA61" s="3315"/>
      <c r="AB61" s="3316"/>
      <c r="AC61" s="3318"/>
      <c r="AD61" s="2914">
        <v>75.099999999999994</v>
      </c>
      <c r="AE61" s="3354"/>
      <c r="AF61" s="3355"/>
      <c r="AG61" s="2914">
        <v>72.5</v>
      </c>
      <c r="AH61" s="1795"/>
      <c r="AI61" s="255"/>
      <c r="AJ61" s="1544">
        <f t="shared" si="5"/>
        <v>2.6</v>
      </c>
      <c r="AK61" s="1544"/>
      <c r="AL61" s="2972">
        <f>ROUND(IF(AG61=0,0,AJ61/ABS(AG61)),3)</f>
        <v>3.5999999999999997E-2</v>
      </c>
      <c r="AM61" s="2973"/>
    </row>
    <row r="62" spans="1:39" ht="15" customHeight="1">
      <c r="A62" s="340"/>
      <c r="B62" s="1541" t="s">
        <v>1130</v>
      </c>
      <c r="C62" s="218"/>
      <c r="D62" s="1545">
        <f t="shared" si="6"/>
        <v>9.9</v>
      </c>
      <c r="E62" s="2502"/>
      <c r="F62" s="1545"/>
      <c r="G62" s="2502"/>
      <c r="H62" s="1545"/>
      <c r="I62" s="2502"/>
      <c r="J62" s="1545"/>
      <c r="K62" s="2509"/>
      <c r="L62" s="2743"/>
      <c r="M62" s="2509"/>
      <c r="N62" s="2743"/>
      <c r="O62" s="2509"/>
      <c r="P62" s="2914"/>
      <c r="Q62" s="3314"/>
      <c r="R62" s="2914"/>
      <c r="S62" s="3314"/>
      <c r="T62" s="2914"/>
      <c r="U62" s="3314"/>
      <c r="V62" s="2914"/>
      <c r="W62" s="3314"/>
      <c r="X62" s="2914"/>
      <c r="Y62" s="3314"/>
      <c r="Z62" s="2914"/>
      <c r="AA62" s="3315"/>
      <c r="AB62" s="3316"/>
      <c r="AC62" s="3318"/>
      <c r="AD62" s="2914">
        <v>9.9</v>
      </c>
      <c r="AE62" s="3354"/>
      <c r="AF62" s="3355"/>
      <c r="AG62" s="2914">
        <v>5.5</v>
      </c>
      <c r="AH62" s="491"/>
      <c r="AI62" s="243"/>
      <c r="AJ62" s="1042">
        <f t="shared" si="5"/>
        <v>4.4000000000000004</v>
      </c>
      <c r="AK62" s="1042"/>
      <c r="AL62" s="2316">
        <f>ROUND(IF(AG62=0,0,AJ62/ABS(AG62)),3)</f>
        <v>0.8</v>
      </c>
      <c r="AM62" s="1349"/>
    </row>
    <row r="63" spans="1:39" s="1536" customFormat="1" ht="15" customHeight="1">
      <c r="A63" s="1792"/>
      <c r="B63" s="1541" t="s">
        <v>1257</v>
      </c>
      <c r="C63" s="296"/>
      <c r="D63" s="1545" t="s">
        <v>15</v>
      </c>
      <c r="E63" s="2502"/>
      <c r="F63" s="1545"/>
      <c r="G63" s="2502"/>
      <c r="H63" s="1545"/>
      <c r="I63" s="2502"/>
      <c r="J63" s="1545"/>
      <c r="K63" s="307"/>
      <c r="L63" s="2743"/>
      <c r="M63" s="307"/>
      <c r="N63" s="2743"/>
      <c r="O63" s="307"/>
      <c r="P63" s="2914"/>
      <c r="Q63" s="3311"/>
      <c r="R63" s="2914"/>
      <c r="S63" s="3311"/>
      <c r="T63" s="2914"/>
      <c r="U63" s="3311"/>
      <c r="V63" s="2914"/>
      <c r="W63" s="3311"/>
      <c r="X63" s="2914"/>
      <c r="Y63" s="3311"/>
      <c r="Z63" s="2914"/>
      <c r="AA63" s="3310"/>
      <c r="AB63" s="3311"/>
      <c r="AC63" s="3365"/>
      <c r="AD63" s="3311"/>
      <c r="AE63" s="3311"/>
      <c r="AF63" s="3313"/>
      <c r="AG63" s="3311"/>
      <c r="AH63" s="1795"/>
      <c r="AI63" s="255"/>
      <c r="AJ63" s="1544"/>
      <c r="AK63" s="1544"/>
      <c r="AL63" s="2972"/>
      <c r="AM63" s="2973"/>
    </row>
    <row r="64" spans="1:39" s="1536" customFormat="1" ht="15" customHeight="1">
      <c r="A64" s="1792"/>
      <c r="B64" s="1541" t="s">
        <v>1175</v>
      </c>
      <c r="C64" s="296"/>
      <c r="D64" s="1545">
        <f t="shared" si="6"/>
        <v>0</v>
      </c>
      <c r="E64" s="2502"/>
      <c r="F64" s="1545"/>
      <c r="G64" s="2502"/>
      <c r="H64" s="1545"/>
      <c r="I64" s="2502"/>
      <c r="J64" s="1545"/>
      <c r="K64" s="2509"/>
      <c r="L64" s="2743"/>
      <c r="M64" s="2509"/>
      <c r="N64" s="2743"/>
      <c r="O64" s="2509"/>
      <c r="P64" s="2914"/>
      <c r="Q64" s="3314"/>
      <c r="R64" s="2914"/>
      <c r="S64" s="3314"/>
      <c r="T64" s="2914"/>
      <c r="U64" s="3314"/>
      <c r="V64" s="2914"/>
      <c r="W64" s="3314"/>
      <c r="X64" s="2914"/>
      <c r="Y64" s="3314"/>
      <c r="Z64" s="2914"/>
      <c r="AA64" s="3315"/>
      <c r="AB64" s="3316"/>
      <c r="AC64" s="3318"/>
      <c r="AD64" s="2914">
        <v>0</v>
      </c>
      <c r="AE64" s="3354"/>
      <c r="AF64" s="3355"/>
      <c r="AG64" s="2914">
        <v>0</v>
      </c>
      <c r="AH64" s="1795"/>
      <c r="AI64" s="255"/>
      <c r="AJ64" s="1544">
        <f t="shared" si="5"/>
        <v>0</v>
      </c>
      <c r="AK64" s="1544"/>
      <c r="AL64" s="2972">
        <f t="shared" ref="AL64:AL69" si="8">ROUND(IF(AG64=0,0,AJ64/ABS(AG64)),3)</f>
        <v>0</v>
      </c>
      <c r="AM64" s="2973"/>
    </row>
    <row r="65" spans="1:39" s="1536" customFormat="1" ht="15" customHeight="1">
      <c r="A65" s="1792"/>
      <c r="B65" s="1541" t="s">
        <v>1176</v>
      </c>
      <c r="C65" s="296"/>
      <c r="D65" s="1545">
        <f t="shared" si="6"/>
        <v>2.6</v>
      </c>
      <c r="E65" s="2502"/>
      <c r="F65" s="1545"/>
      <c r="G65" s="2502"/>
      <c r="H65" s="1545"/>
      <c r="I65" s="2502"/>
      <c r="J65" s="1545"/>
      <c r="K65" s="2509"/>
      <c r="L65" s="2743"/>
      <c r="M65" s="2509"/>
      <c r="N65" s="2743"/>
      <c r="O65" s="2509"/>
      <c r="P65" s="2914"/>
      <c r="Q65" s="3314"/>
      <c r="R65" s="2914"/>
      <c r="S65" s="3314"/>
      <c r="T65" s="2914"/>
      <c r="U65" s="3314"/>
      <c r="V65" s="2914"/>
      <c r="W65" s="3314"/>
      <c r="X65" s="2914"/>
      <c r="Y65" s="3314"/>
      <c r="Z65" s="2914"/>
      <c r="AA65" s="3315"/>
      <c r="AB65" s="3316"/>
      <c r="AC65" s="3318"/>
      <c r="AD65" s="2914">
        <v>2.6</v>
      </c>
      <c r="AE65" s="3354"/>
      <c r="AF65" s="3355"/>
      <c r="AG65" s="2914">
        <v>0</v>
      </c>
      <c r="AH65" s="1795"/>
      <c r="AI65" s="255"/>
      <c r="AJ65" s="1544">
        <f t="shared" si="5"/>
        <v>2.6</v>
      </c>
      <c r="AK65" s="1544"/>
      <c r="AL65" s="2972">
        <f>ROUND(IF(AG65=0,1,AJ65/ABS(AG65)),3)</f>
        <v>1</v>
      </c>
      <c r="AM65" s="2973"/>
    </row>
    <row r="66" spans="1:39" s="1536" customFormat="1" ht="15" customHeight="1">
      <c r="A66" s="1792"/>
      <c r="B66" s="1541" t="s">
        <v>1177</v>
      </c>
      <c r="C66" s="296"/>
      <c r="D66" s="1545">
        <f t="shared" si="6"/>
        <v>7.2</v>
      </c>
      <c r="E66" s="2502"/>
      <c r="F66" s="1545"/>
      <c r="G66" s="2502"/>
      <c r="H66" s="1545"/>
      <c r="I66" s="2502"/>
      <c r="J66" s="1545"/>
      <c r="K66" s="2509"/>
      <c r="L66" s="2743"/>
      <c r="M66" s="2509"/>
      <c r="N66" s="2743"/>
      <c r="O66" s="2509"/>
      <c r="P66" s="2914"/>
      <c r="Q66" s="3314"/>
      <c r="R66" s="2914"/>
      <c r="S66" s="3314"/>
      <c r="T66" s="2914"/>
      <c r="U66" s="3314"/>
      <c r="V66" s="2914"/>
      <c r="W66" s="3314"/>
      <c r="X66" s="2914"/>
      <c r="Y66" s="3314"/>
      <c r="Z66" s="2914"/>
      <c r="AA66" s="3315"/>
      <c r="AB66" s="3316"/>
      <c r="AC66" s="3318"/>
      <c r="AD66" s="2914">
        <v>7.2</v>
      </c>
      <c r="AE66" s="3354"/>
      <c r="AF66" s="3355"/>
      <c r="AG66" s="2914">
        <v>3</v>
      </c>
      <c r="AH66" s="1795"/>
      <c r="AI66" s="255"/>
      <c r="AJ66" s="1544">
        <f t="shared" si="5"/>
        <v>4.2</v>
      </c>
      <c r="AK66" s="1544"/>
      <c r="AL66" s="2983">
        <f>ROUND(IF(AG66=0,0,AJ66/ABS(AG66)),3)</f>
        <v>1.4</v>
      </c>
      <c r="AM66" s="2973"/>
    </row>
    <row r="67" spans="1:39" s="1536" customFormat="1" ht="15" customHeight="1">
      <c r="A67" s="1792"/>
      <c r="B67" s="1541" t="s">
        <v>1178</v>
      </c>
      <c r="C67" s="296"/>
      <c r="D67" s="1545">
        <f t="shared" si="6"/>
        <v>5</v>
      </c>
      <c r="E67" s="2502"/>
      <c r="F67" s="1545"/>
      <c r="G67" s="2502"/>
      <c r="H67" s="1545"/>
      <c r="I67" s="2502"/>
      <c r="J67" s="1545"/>
      <c r="K67" s="2509"/>
      <c r="L67" s="2743"/>
      <c r="M67" s="2509"/>
      <c r="N67" s="2743"/>
      <c r="O67" s="2509"/>
      <c r="P67" s="2914"/>
      <c r="Q67" s="3314"/>
      <c r="R67" s="2914"/>
      <c r="S67" s="3314"/>
      <c r="T67" s="2914"/>
      <c r="U67" s="3314"/>
      <c r="V67" s="2914"/>
      <c r="W67" s="3314"/>
      <c r="X67" s="2914"/>
      <c r="Y67" s="3314"/>
      <c r="Z67" s="2914"/>
      <c r="AA67" s="3315"/>
      <c r="AB67" s="3316"/>
      <c r="AC67" s="3318"/>
      <c r="AD67" s="2914">
        <v>5</v>
      </c>
      <c r="AE67" s="3354"/>
      <c r="AF67" s="3355"/>
      <c r="AG67" s="2914">
        <v>7.7</v>
      </c>
      <c r="AH67" s="1795"/>
      <c r="AI67" s="255"/>
      <c r="AJ67" s="1544">
        <f t="shared" si="5"/>
        <v>-2.7</v>
      </c>
      <c r="AK67" s="1544"/>
      <c r="AL67" s="2843">
        <f t="shared" si="8"/>
        <v>-0.35099999999999998</v>
      </c>
      <c r="AM67" s="2973"/>
    </row>
    <row r="68" spans="1:39" s="1536" customFormat="1" ht="15" customHeight="1">
      <c r="A68" s="1792"/>
      <c r="B68" s="1541" t="s">
        <v>1148</v>
      </c>
      <c r="C68" s="296"/>
      <c r="D68" s="1545">
        <f t="shared" si="6"/>
        <v>4.0999999999999996</v>
      </c>
      <c r="E68" s="2502"/>
      <c r="F68" s="1545"/>
      <c r="G68" s="2502"/>
      <c r="H68" s="1545"/>
      <c r="I68" s="2502"/>
      <c r="J68" s="1545"/>
      <c r="K68" s="2509"/>
      <c r="L68" s="2743"/>
      <c r="M68" s="2509"/>
      <c r="N68" s="2743"/>
      <c r="O68" s="2509"/>
      <c r="P68" s="2914"/>
      <c r="Q68" s="3314"/>
      <c r="R68" s="2914"/>
      <c r="S68" s="3314"/>
      <c r="T68" s="2914"/>
      <c r="U68" s="3314"/>
      <c r="V68" s="2914"/>
      <c r="W68" s="3314"/>
      <c r="X68" s="2914"/>
      <c r="Y68" s="3314"/>
      <c r="Z68" s="2914"/>
      <c r="AA68" s="3315"/>
      <c r="AB68" s="3316"/>
      <c r="AC68" s="3318"/>
      <c r="AD68" s="2914">
        <v>4.0999999999999996</v>
      </c>
      <c r="AE68" s="3354"/>
      <c r="AF68" s="3355"/>
      <c r="AG68" s="2914">
        <v>5.3</v>
      </c>
      <c r="AH68" s="1795"/>
      <c r="AI68" s="255"/>
      <c r="AJ68" s="1544">
        <f t="shared" si="5"/>
        <v>-1.2</v>
      </c>
      <c r="AK68" s="1544"/>
      <c r="AL68" s="2972">
        <f t="shared" si="8"/>
        <v>-0.22600000000000001</v>
      </c>
      <c r="AM68" s="2973"/>
    </row>
    <row r="69" spans="1:39" s="1536" customFormat="1" ht="15" customHeight="1">
      <c r="A69" s="1792"/>
      <c r="B69" s="1541" t="s">
        <v>1149</v>
      </c>
      <c r="C69" s="296"/>
      <c r="D69" s="1545">
        <f t="shared" si="6"/>
        <v>38.700000000000003</v>
      </c>
      <c r="E69" s="2502"/>
      <c r="F69" s="1545"/>
      <c r="G69" s="2502"/>
      <c r="H69" s="1545"/>
      <c r="I69" s="2502"/>
      <c r="J69" s="1545"/>
      <c r="K69" s="2509"/>
      <c r="L69" s="2743"/>
      <c r="M69" s="2509"/>
      <c r="N69" s="2743"/>
      <c r="O69" s="2509"/>
      <c r="P69" s="2914"/>
      <c r="Q69" s="3314"/>
      <c r="R69" s="2914"/>
      <c r="S69" s="3314"/>
      <c r="T69" s="2914"/>
      <c r="U69" s="3314"/>
      <c r="V69" s="2914"/>
      <c r="W69" s="3314"/>
      <c r="X69" s="2914"/>
      <c r="Y69" s="3314"/>
      <c r="Z69" s="2914"/>
      <c r="AA69" s="3315"/>
      <c r="AB69" s="3316"/>
      <c r="AC69" s="3318"/>
      <c r="AD69" s="2914">
        <v>38.700000000000003</v>
      </c>
      <c r="AE69" s="3354"/>
      <c r="AF69" s="3355"/>
      <c r="AG69" s="2914">
        <v>44.6</v>
      </c>
      <c r="AH69" s="1795"/>
      <c r="AI69" s="255"/>
      <c r="AJ69" s="1544">
        <f t="shared" si="5"/>
        <v>-5.9</v>
      </c>
      <c r="AK69" s="1544"/>
      <c r="AL69" s="2983">
        <f t="shared" si="8"/>
        <v>-0.13200000000000001</v>
      </c>
      <c r="AM69" s="2973"/>
    </row>
    <row r="70" spans="1:39" s="1536" customFormat="1" ht="17.25" customHeight="1">
      <c r="A70" s="1792"/>
      <c r="B70" s="1541" t="s">
        <v>1258</v>
      </c>
      <c r="C70" s="296"/>
      <c r="D70" s="1545" t="s">
        <v>15</v>
      </c>
      <c r="E70" s="2502"/>
      <c r="F70" s="1545"/>
      <c r="G70" s="2502"/>
      <c r="H70" s="1545"/>
      <c r="I70" s="2502"/>
      <c r="J70" s="1545"/>
      <c r="K70" s="307"/>
      <c r="L70" s="2743"/>
      <c r="M70" s="307"/>
      <c r="N70" s="2743"/>
      <c r="O70" s="307"/>
      <c r="P70" s="2914"/>
      <c r="Q70" s="3311"/>
      <c r="R70" s="2914"/>
      <c r="S70" s="3311"/>
      <c r="T70" s="2914"/>
      <c r="U70" s="3311"/>
      <c r="V70" s="2914"/>
      <c r="W70" s="3311"/>
      <c r="X70" s="2914"/>
      <c r="Y70" s="3311"/>
      <c r="Z70" s="2914"/>
      <c r="AA70" s="3310"/>
      <c r="AB70" s="3311"/>
      <c r="AC70" s="3365"/>
      <c r="AD70" s="3311"/>
      <c r="AE70" s="3311"/>
      <c r="AF70" s="3313"/>
      <c r="AG70" s="3311"/>
      <c r="AH70" s="1795"/>
      <c r="AI70" s="255"/>
      <c r="AJ70" s="1544"/>
      <c r="AK70" s="1544"/>
      <c r="AL70" s="2972"/>
      <c r="AM70" s="2973"/>
    </row>
    <row r="71" spans="1:39" s="1536" customFormat="1" ht="15" customHeight="1">
      <c r="A71" s="1792"/>
      <c r="B71" s="1541" t="s">
        <v>1179</v>
      </c>
      <c r="C71" s="296"/>
      <c r="D71" s="1545">
        <f t="shared" si="6"/>
        <v>14.8</v>
      </c>
      <c r="E71" s="2502"/>
      <c r="F71" s="1545"/>
      <c r="G71" s="2502"/>
      <c r="H71" s="1545"/>
      <c r="I71" s="2502"/>
      <c r="J71" s="1545"/>
      <c r="K71" s="2509"/>
      <c r="L71" s="2743"/>
      <c r="M71" s="2509"/>
      <c r="N71" s="2743"/>
      <c r="O71" s="2509"/>
      <c r="P71" s="2914"/>
      <c r="Q71" s="3314"/>
      <c r="R71" s="2914"/>
      <c r="S71" s="3314"/>
      <c r="T71" s="2914"/>
      <c r="U71" s="3314"/>
      <c r="V71" s="2914"/>
      <c r="W71" s="3314"/>
      <c r="X71" s="2914"/>
      <c r="Y71" s="3314"/>
      <c r="Z71" s="2914"/>
      <c r="AA71" s="3315"/>
      <c r="AB71" s="3316"/>
      <c r="AC71" s="3318"/>
      <c r="AD71" s="2914">
        <v>14.8</v>
      </c>
      <c r="AE71" s="3354"/>
      <c r="AF71" s="3355"/>
      <c r="AG71" s="2914">
        <v>12.4</v>
      </c>
      <c r="AH71" s="1795"/>
      <c r="AI71" s="255"/>
      <c r="AJ71" s="1544">
        <f t="shared" si="5"/>
        <v>2.4</v>
      </c>
      <c r="AK71" s="1544"/>
      <c r="AL71" s="2983">
        <f>ROUND(IF(AG71=0,0,AJ71/ABS(AG71)),3)</f>
        <v>0.19400000000000001</v>
      </c>
      <c r="AM71" s="2973"/>
    </row>
    <row r="72" spans="1:39" s="1536" customFormat="1" ht="15" customHeight="1">
      <c r="A72" s="1792"/>
      <c r="B72" s="1541" t="s">
        <v>1180</v>
      </c>
      <c r="C72" s="296"/>
      <c r="D72" s="1545">
        <f t="shared" si="6"/>
        <v>0.4</v>
      </c>
      <c r="E72" s="2502"/>
      <c r="F72" s="1545"/>
      <c r="G72" s="2502"/>
      <c r="H72" s="1545"/>
      <c r="I72" s="2502"/>
      <c r="J72" s="1545"/>
      <c r="K72" s="2509"/>
      <c r="L72" s="2743"/>
      <c r="M72" s="2509"/>
      <c r="N72" s="2743"/>
      <c r="O72" s="2509"/>
      <c r="P72" s="2914"/>
      <c r="Q72" s="3314"/>
      <c r="R72" s="2914"/>
      <c r="S72" s="3314"/>
      <c r="T72" s="2914"/>
      <c r="U72" s="3314"/>
      <c r="V72" s="2914"/>
      <c r="W72" s="3314"/>
      <c r="X72" s="2914"/>
      <c r="Y72" s="3314"/>
      <c r="Z72" s="2914"/>
      <c r="AA72" s="3315"/>
      <c r="AB72" s="3316"/>
      <c r="AC72" s="3318"/>
      <c r="AD72" s="2914">
        <v>0.4</v>
      </c>
      <c r="AE72" s="3354"/>
      <c r="AF72" s="3355"/>
      <c r="AG72" s="2914">
        <v>0</v>
      </c>
      <c r="AH72" s="1795"/>
      <c r="AI72" s="255"/>
      <c r="AJ72" s="1544">
        <f t="shared" si="5"/>
        <v>0.4</v>
      </c>
      <c r="AK72" s="1544"/>
      <c r="AL72" s="2972">
        <f>ROUND(IF(AG72=0,1,AJ72/ABS(AG72)),3)</f>
        <v>1</v>
      </c>
      <c r="AM72" s="2973"/>
    </row>
    <row r="73" spans="1:39" s="1536" customFormat="1" ht="15" customHeight="1">
      <c r="A73" s="1792"/>
      <c r="B73" s="1541" t="s">
        <v>1181</v>
      </c>
      <c r="C73" s="296"/>
      <c r="D73" s="1545">
        <f t="shared" si="6"/>
        <v>1.5</v>
      </c>
      <c r="E73" s="2502"/>
      <c r="F73" s="1545"/>
      <c r="G73" s="2502"/>
      <c r="H73" s="1545"/>
      <c r="I73" s="2502"/>
      <c r="J73" s="1545"/>
      <c r="K73" s="2509"/>
      <c r="L73" s="2743"/>
      <c r="M73" s="2509"/>
      <c r="N73" s="2743"/>
      <c r="O73" s="2509"/>
      <c r="P73" s="2914"/>
      <c r="Q73" s="3314"/>
      <c r="R73" s="2914"/>
      <c r="S73" s="3314"/>
      <c r="T73" s="2914"/>
      <c r="U73" s="3314"/>
      <c r="V73" s="2914"/>
      <c r="W73" s="3314"/>
      <c r="X73" s="2914"/>
      <c r="Y73" s="3314"/>
      <c r="Z73" s="2914"/>
      <c r="AA73" s="3315"/>
      <c r="AB73" s="3316"/>
      <c r="AC73" s="3318"/>
      <c r="AD73" s="2914">
        <v>1.5</v>
      </c>
      <c r="AE73" s="3354"/>
      <c r="AF73" s="3355"/>
      <c r="AG73" s="2914">
        <v>1.1000000000000001</v>
      </c>
      <c r="AH73" s="1795"/>
      <c r="AI73" s="255"/>
      <c r="AJ73" s="1544">
        <f t="shared" si="5"/>
        <v>0.4</v>
      </c>
      <c r="AK73" s="1544"/>
      <c r="AL73" s="2972">
        <f t="shared" ref="AL73:AL76" si="9">ROUND(IF(AG73=0,0,AJ73/ABS(AG73)),3)</f>
        <v>0.36399999999999999</v>
      </c>
      <c r="AM73" s="2973"/>
    </row>
    <row r="74" spans="1:39" s="1536" customFormat="1" ht="15" customHeight="1">
      <c r="A74" s="1792"/>
      <c r="B74" s="1541" t="s">
        <v>1182</v>
      </c>
      <c r="C74" s="296"/>
      <c r="D74" s="1545">
        <f t="shared" si="6"/>
        <v>0</v>
      </c>
      <c r="E74" s="2502"/>
      <c r="F74" s="1545"/>
      <c r="G74" s="2502"/>
      <c r="H74" s="1545"/>
      <c r="I74" s="2502"/>
      <c r="J74" s="1545"/>
      <c r="K74" s="2509"/>
      <c r="L74" s="2743"/>
      <c r="M74" s="2509"/>
      <c r="N74" s="2743"/>
      <c r="O74" s="2509"/>
      <c r="P74" s="2914"/>
      <c r="Q74" s="3314"/>
      <c r="R74" s="2914"/>
      <c r="S74" s="3314"/>
      <c r="T74" s="2914"/>
      <c r="U74" s="3314"/>
      <c r="V74" s="2914"/>
      <c r="W74" s="3314"/>
      <c r="X74" s="2914"/>
      <c r="Y74" s="3314"/>
      <c r="Z74" s="2914"/>
      <c r="AA74" s="3315"/>
      <c r="AB74" s="3316"/>
      <c r="AC74" s="3318"/>
      <c r="AD74" s="2914">
        <v>0</v>
      </c>
      <c r="AE74" s="3354"/>
      <c r="AF74" s="3355"/>
      <c r="AG74" s="2914">
        <v>0</v>
      </c>
      <c r="AH74" s="1795"/>
      <c r="AI74" s="255"/>
      <c r="AJ74" s="1544">
        <f t="shared" si="5"/>
        <v>0</v>
      </c>
      <c r="AK74" s="1544"/>
      <c r="AL74" s="2972">
        <f t="shared" si="9"/>
        <v>0</v>
      </c>
      <c r="AM74" s="2973"/>
    </row>
    <row r="75" spans="1:39" s="1536" customFormat="1" ht="15" customHeight="1">
      <c r="A75" s="1792"/>
      <c r="B75" s="1541" t="s">
        <v>1183</v>
      </c>
      <c r="C75" s="296"/>
      <c r="D75" s="1545">
        <f t="shared" si="6"/>
        <v>204</v>
      </c>
      <c r="E75" s="2502"/>
      <c r="F75" s="1545"/>
      <c r="G75" s="2502"/>
      <c r="H75" s="1545"/>
      <c r="I75" s="2502"/>
      <c r="J75" s="1545"/>
      <c r="K75" s="2509"/>
      <c r="L75" s="2743"/>
      <c r="M75" s="2509"/>
      <c r="N75" s="2743"/>
      <c r="O75" s="2509"/>
      <c r="P75" s="2914"/>
      <c r="Q75" s="3314"/>
      <c r="R75" s="2914"/>
      <c r="S75" s="3314"/>
      <c r="T75" s="2914"/>
      <c r="U75" s="3314"/>
      <c r="V75" s="2914"/>
      <c r="W75" s="3314"/>
      <c r="X75" s="2914"/>
      <c r="Y75" s="3314"/>
      <c r="Z75" s="2914"/>
      <c r="AA75" s="3315"/>
      <c r="AB75" s="3316"/>
      <c r="AC75" s="3318"/>
      <c r="AD75" s="2914">
        <v>204</v>
      </c>
      <c r="AE75" s="3354"/>
      <c r="AF75" s="3355"/>
      <c r="AG75" s="2914">
        <v>145.5</v>
      </c>
      <c r="AH75" s="1795"/>
      <c r="AI75" s="255"/>
      <c r="AJ75" s="1544">
        <f t="shared" si="5"/>
        <v>58.5</v>
      </c>
      <c r="AK75" s="1544"/>
      <c r="AL75" s="2972">
        <f t="shared" si="9"/>
        <v>0.40200000000000002</v>
      </c>
      <c r="AM75" s="2973"/>
    </row>
    <row r="76" spans="1:39" s="1536" customFormat="1" ht="15" customHeight="1">
      <c r="A76" s="1792"/>
      <c r="B76" s="1541" t="s">
        <v>1184</v>
      </c>
      <c r="C76" s="296"/>
      <c r="D76" s="1545">
        <f t="shared" si="6"/>
        <v>5.0999999999999996</v>
      </c>
      <c r="E76" s="2502"/>
      <c r="F76" s="1545"/>
      <c r="G76" s="2502"/>
      <c r="H76" s="1545"/>
      <c r="I76" s="2502"/>
      <c r="J76" s="1545"/>
      <c r="K76" s="2509"/>
      <c r="L76" s="2743"/>
      <c r="M76" s="2509"/>
      <c r="N76" s="2743"/>
      <c r="O76" s="2509"/>
      <c r="P76" s="2914"/>
      <c r="Q76" s="3314"/>
      <c r="R76" s="2914"/>
      <c r="S76" s="3314"/>
      <c r="T76" s="2914"/>
      <c r="U76" s="3314"/>
      <c r="V76" s="2914"/>
      <c r="W76" s="3314"/>
      <c r="X76" s="2914"/>
      <c r="Y76" s="3314"/>
      <c r="Z76" s="2914"/>
      <c r="AA76" s="3315"/>
      <c r="AB76" s="3316"/>
      <c r="AC76" s="3318"/>
      <c r="AD76" s="2914">
        <v>5.0999999999999996</v>
      </c>
      <c r="AE76" s="3354"/>
      <c r="AF76" s="3355"/>
      <c r="AG76" s="2914">
        <v>4.3</v>
      </c>
      <c r="AH76" s="1795"/>
      <c r="AI76" s="255"/>
      <c r="AJ76" s="1544">
        <f t="shared" si="5"/>
        <v>0.8</v>
      </c>
      <c r="AK76" s="1544"/>
      <c r="AL76" s="2983">
        <f t="shared" si="9"/>
        <v>0.186</v>
      </c>
      <c r="AM76" s="2973"/>
    </row>
    <row r="77" spans="1:39" s="1536" customFormat="1" ht="15" customHeight="1">
      <c r="A77" s="1792"/>
      <c r="B77" s="1541" t="s">
        <v>1185</v>
      </c>
      <c r="C77" s="296"/>
      <c r="D77" s="1545">
        <f t="shared" si="6"/>
        <v>47.9</v>
      </c>
      <c r="E77" s="2502"/>
      <c r="F77" s="1545"/>
      <c r="G77" s="2502"/>
      <c r="H77" s="1545"/>
      <c r="I77" s="2502"/>
      <c r="J77" s="1545"/>
      <c r="K77" s="2509"/>
      <c r="L77" s="2743"/>
      <c r="M77" s="2509"/>
      <c r="N77" s="2743"/>
      <c r="O77" s="2509"/>
      <c r="P77" s="2914"/>
      <c r="Q77" s="3314"/>
      <c r="R77" s="2914"/>
      <c r="S77" s="3314"/>
      <c r="T77" s="2914"/>
      <c r="U77" s="3314"/>
      <c r="V77" s="2914"/>
      <c r="W77" s="3314"/>
      <c r="X77" s="2914"/>
      <c r="Y77" s="3314"/>
      <c r="Z77" s="2914"/>
      <c r="AA77" s="3315"/>
      <c r="AB77" s="3316"/>
      <c r="AC77" s="3318"/>
      <c r="AD77" s="2914">
        <v>47.9</v>
      </c>
      <c r="AE77" s="3354"/>
      <c r="AF77" s="3355"/>
      <c r="AG77" s="2914">
        <v>5.3</v>
      </c>
      <c r="AH77" s="1795"/>
      <c r="AI77" s="255"/>
      <c r="AJ77" s="1544">
        <f t="shared" si="5"/>
        <v>42.6</v>
      </c>
      <c r="AK77" s="1544"/>
      <c r="AL77" s="2983">
        <f>ROUND(IF(AG77=0,1,AJ77/ABS(AG77)),3)</f>
        <v>8.0380000000000003</v>
      </c>
      <c r="AM77" s="2973"/>
    </row>
    <row r="78" spans="1:39" s="1536" customFormat="1" ht="15" customHeight="1">
      <c r="A78" s="1792"/>
      <c r="B78" s="1541" t="s">
        <v>1186</v>
      </c>
      <c r="C78" s="296"/>
      <c r="D78" s="1545">
        <f t="shared" si="6"/>
        <v>4.9000000000000004</v>
      </c>
      <c r="E78" s="1544"/>
      <c r="F78" s="1545"/>
      <c r="G78" s="1544"/>
      <c r="H78" s="1545"/>
      <c r="I78" s="1544"/>
      <c r="J78" s="1545"/>
      <c r="K78" s="2509"/>
      <c r="L78" s="2743"/>
      <c r="M78" s="2509"/>
      <c r="N78" s="2743"/>
      <c r="O78" s="2509"/>
      <c r="P78" s="2914"/>
      <c r="Q78" s="3314"/>
      <c r="R78" s="2914"/>
      <c r="S78" s="3314"/>
      <c r="T78" s="2914"/>
      <c r="U78" s="3314"/>
      <c r="V78" s="2914"/>
      <c r="W78" s="3314"/>
      <c r="X78" s="2914"/>
      <c r="Y78" s="3314"/>
      <c r="Z78" s="2914"/>
      <c r="AA78" s="3315"/>
      <c r="AB78" s="3316"/>
      <c r="AC78" s="3318"/>
      <c r="AD78" s="2914">
        <v>4.9000000000000004</v>
      </c>
      <c r="AE78" s="3354"/>
      <c r="AF78" s="3355"/>
      <c r="AG78" s="2914">
        <v>8.1</v>
      </c>
      <c r="AH78" s="1795"/>
      <c r="AI78" s="255"/>
      <c r="AJ78" s="1544">
        <f t="shared" si="5"/>
        <v>-3.2</v>
      </c>
      <c r="AK78" s="1544"/>
      <c r="AL78" s="2972">
        <f>ROUND(IF(AG78=0,0,AJ78/ABS(AG78)),3)</f>
        <v>-0.39500000000000002</v>
      </c>
      <c r="AM78" s="2973"/>
    </row>
    <row r="79" spans="1:39" ht="15" customHeight="1">
      <c r="A79" s="340"/>
      <c r="B79" s="1541" t="s">
        <v>1187</v>
      </c>
      <c r="C79" s="218"/>
      <c r="D79" s="1545">
        <f t="shared" si="6"/>
        <v>42.4</v>
      </c>
      <c r="E79" s="1544"/>
      <c r="F79" s="1545"/>
      <c r="G79" s="1544"/>
      <c r="H79" s="1545"/>
      <c r="I79" s="1544"/>
      <c r="J79" s="1545"/>
      <c r="K79" s="2509"/>
      <c r="L79" s="2743"/>
      <c r="M79" s="2509"/>
      <c r="N79" s="2743"/>
      <c r="O79" s="2509"/>
      <c r="P79" s="2914"/>
      <c r="Q79" s="3314"/>
      <c r="R79" s="2914"/>
      <c r="S79" s="3314"/>
      <c r="T79" s="2914"/>
      <c r="U79" s="3314"/>
      <c r="V79" s="2914"/>
      <c r="W79" s="3314"/>
      <c r="X79" s="2914"/>
      <c r="Y79" s="3314"/>
      <c r="Z79" s="2914"/>
      <c r="AA79" s="3315"/>
      <c r="AB79" s="3316"/>
      <c r="AC79" s="3317"/>
      <c r="AD79" s="2914">
        <v>42.4</v>
      </c>
      <c r="AE79" s="3316"/>
      <c r="AF79" s="3318"/>
      <c r="AG79" s="2914">
        <v>49.4</v>
      </c>
      <c r="AH79" s="491"/>
      <c r="AI79" s="243"/>
      <c r="AJ79" s="1042">
        <f t="shared" si="5"/>
        <v>-7</v>
      </c>
      <c r="AK79" s="1042"/>
      <c r="AL79" s="2332">
        <f>ROUND(IF(AG79=0,0,AJ79/ABS(AG79)),3)</f>
        <v>-0.14199999999999999</v>
      </c>
      <c r="AM79" s="1349"/>
    </row>
    <row r="80" spans="1:39" ht="15" customHeight="1">
      <c r="A80" s="340"/>
      <c r="B80" s="1541" t="s">
        <v>1159</v>
      </c>
      <c r="C80" s="218"/>
      <c r="D80" s="1545">
        <f t="shared" si="6"/>
        <v>2.5</v>
      </c>
      <c r="E80" s="1544"/>
      <c r="F80" s="1545"/>
      <c r="G80" s="1544"/>
      <c r="H80" s="1545"/>
      <c r="I80" s="1544"/>
      <c r="J80" s="1545"/>
      <c r="K80" s="2509"/>
      <c r="L80" s="2743"/>
      <c r="M80" s="2509"/>
      <c r="N80" s="2743"/>
      <c r="O80" s="2509"/>
      <c r="P80" s="2914"/>
      <c r="Q80" s="3314"/>
      <c r="R80" s="2914"/>
      <c r="S80" s="3314"/>
      <c r="T80" s="2914"/>
      <c r="U80" s="3314"/>
      <c r="V80" s="2914"/>
      <c r="W80" s="3314"/>
      <c r="X80" s="2914"/>
      <c r="Y80" s="3314"/>
      <c r="Z80" s="2914"/>
      <c r="AA80" s="3315"/>
      <c r="AB80" s="3316"/>
      <c r="AC80" s="3317"/>
      <c r="AD80" s="2914">
        <v>2.5</v>
      </c>
      <c r="AE80" s="3316"/>
      <c r="AF80" s="3318"/>
      <c r="AG80" s="2914">
        <v>0.4</v>
      </c>
      <c r="AH80" s="491"/>
      <c r="AI80" s="243"/>
      <c r="AJ80" s="1042">
        <f t="shared" si="5"/>
        <v>2.1</v>
      </c>
      <c r="AK80" s="1042"/>
      <c r="AL80" s="2316">
        <f>ROUND(IF(AG80=0,0,AJ80/ABS(AG80)),3)</f>
        <v>5.25</v>
      </c>
      <c r="AM80" s="1349"/>
    </row>
    <row r="81" spans="1:39" s="1536" customFormat="1" ht="15" customHeight="1">
      <c r="A81" s="1792"/>
      <c r="B81" s="1541" t="s">
        <v>1160</v>
      </c>
      <c r="C81" s="296"/>
      <c r="D81" s="1545">
        <f t="shared" si="6"/>
        <v>37.799999999999997</v>
      </c>
      <c r="E81" s="1544"/>
      <c r="F81" s="1545"/>
      <c r="G81" s="1544"/>
      <c r="H81" s="1545"/>
      <c r="I81" s="1544"/>
      <c r="J81" s="1545"/>
      <c r="K81" s="2509"/>
      <c r="L81" s="2743"/>
      <c r="M81" s="2509"/>
      <c r="N81" s="2743"/>
      <c r="O81" s="2509"/>
      <c r="P81" s="2914"/>
      <c r="Q81" s="3314"/>
      <c r="R81" s="2914"/>
      <c r="S81" s="3314"/>
      <c r="T81" s="2914"/>
      <c r="U81" s="3314"/>
      <c r="V81" s="2914"/>
      <c r="W81" s="3314"/>
      <c r="X81" s="2914"/>
      <c r="Y81" s="3314"/>
      <c r="Z81" s="2914"/>
      <c r="AA81" s="3315"/>
      <c r="AB81" s="3316"/>
      <c r="AC81" s="3318"/>
      <c r="AD81" s="2914">
        <v>37.799999999999997</v>
      </c>
      <c r="AE81" s="3354"/>
      <c r="AF81" s="3355"/>
      <c r="AG81" s="2914">
        <v>43.8</v>
      </c>
      <c r="AH81" s="1795"/>
      <c r="AI81" s="255"/>
      <c r="AJ81" s="1544">
        <f t="shared" si="5"/>
        <v>-6</v>
      </c>
      <c r="AK81" s="1544"/>
      <c r="AL81" s="2972">
        <f>ROUND(IF(AG81=0,0,AJ81/ABS(AG81)),3)</f>
        <v>-0.13700000000000001</v>
      </c>
      <c r="AM81" s="2973"/>
    </row>
    <row r="82" spans="1:39" s="1536" customFormat="1" ht="15" customHeight="1">
      <c r="A82" s="1792"/>
      <c r="B82" s="555" t="s">
        <v>1304</v>
      </c>
      <c r="C82" s="296"/>
      <c r="D82" s="3046">
        <f>ROUND(SUM(D44:D81),1)</f>
        <v>1523.5</v>
      </c>
      <c r="E82" s="1544"/>
      <c r="F82" s="3046">
        <f>ROUND(SUM(F44:F81),1)</f>
        <v>0</v>
      </c>
      <c r="G82" s="1544"/>
      <c r="H82" s="3046">
        <f>ROUND(SUM(H44:H81),1)</f>
        <v>0</v>
      </c>
      <c r="I82" s="1544"/>
      <c r="J82" s="3046">
        <f>ROUND(SUM(J44:J81),1)</f>
        <v>0</v>
      </c>
      <c r="K82" s="307"/>
      <c r="L82" s="2514">
        <f>ROUND(SUM(L44:L81),1)</f>
        <v>0</v>
      </c>
      <c r="M82" s="307"/>
      <c r="N82" s="2514">
        <f>ROUND(SUM(N44:N81),1)</f>
        <v>0</v>
      </c>
      <c r="O82" s="307"/>
      <c r="P82" s="2347">
        <f>ROUND(SUM(P44:P81),1)</f>
        <v>0</v>
      </c>
      <c r="Q82" s="3311"/>
      <c r="R82" s="2347">
        <f>ROUND(SUM(R44:R81),1)</f>
        <v>0</v>
      </c>
      <c r="S82" s="3311"/>
      <c r="T82" s="2347">
        <f>ROUND(SUM(T44:T81),1)</f>
        <v>0</v>
      </c>
      <c r="U82" s="3311"/>
      <c r="V82" s="2347">
        <f>ROUND(SUM(V44:V81),1)</f>
        <v>0</v>
      </c>
      <c r="W82" s="3311"/>
      <c r="X82" s="2347">
        <f>ROUND(SUM(X44:X81),1)</f>
        <v>0</v>
      </c>
      <c r="Y82" s="3311"/>
      <c r="Z82" s="2347">
        <f>ROUND(SUM(Z44:Z81),1)</f>
        <v>0</v>
      </c>
      <c r="AA82" s="2349"/>
      <c r="AB82" s="3311"/>
      <c r="AC82" s="3365"/>
      <c r="AD82" s="2347">
        <f>ROUND(SUM(AD44:AD81),1)</f>
        <v>1523.5</v>
      </c>
      <c r="AE82" s="3311"/>
      <c r="AF82" s="3313"/>
      <c r="AG82" s="2347">
        <f>ROUND(SUM(AG44:AG81),1)</f>
        <v>1242.9000000000001</v>
      </c>
      <c r="AH82" s="1795"/>
      <c r="AI82" s="255"/>
      <c r="AJ82" s="2514">
        <f>ROUND(SUM(AJ44:AJ81),1)</f>
        <v>280.60000000000002</v>
      </c>
      <c r="AK82" s="1544"/>
      <c r="AL82" s="2974">
        <f>ROUND(SUM(+AJ82/AG82),3)</f>
        <v>0.22600000000000001</v>
      </c>
      <c r="AM82" s="2973"/>
    </row>
    <row r="83" spans="1:39" s="1536" customFormat="1" ht="15" customHeight="1">
      <c r="A83" s="1792"/>
      <c r="B83" s="555"/>
      <c r="C83" s="296"/>
      <c r="D83" s="304"/>
      <c r="E83" s="1544"/>
      <c r="F83" s="304"/>
      <c r="G83" s="1544"/>
      <c r="H83" s="304"/>
      <c r="I83" s="1544"/>
      <c r="J83" s="304"/>
      <c r="K83" s="307"/>
      <c r="L83" s="304"/>
      <c r="M83" s="307"/>
      <c r="N83" s="304"/>
      <c r="O83" s="307"/>
      <c r="P83" s="2349"/>
      <c r="Q83" s="3311"/>
      <c r="R83" s="2349"/>
      <c r="S83" s="3311"/>
      <c r="T83" s="2349"/>
      <c r="U83" s="3311"/>
      <c r="V83" s="2349"/>
      <c r="W83" s="3311"/>
      <c r="X83" s="2349"/>
      <c r="Y83" s="3311"/>
      <c r="Z83" s="2349"/>
      <c r="AA83" s="2349"/>
      <c r="AB83" s="3311"/>
      <c r="AC83" s="3365"/>
      <c r="AD83" s="2349"/>
      <c r="AE83" s="3311"/>
      <c r="AF83" s="3313"/>
      <c r="AG83" s="2349"/>
      <c r="AH83" s="1795"/>
      <c r="AI83" s="255"/>
      <c r="AJ83" s="304"/>
      <c r="AK83" s="1544"/>
      <c r="AL83" s="2975"/>
      <c r="AM83" s="2973"/>
    </row>
    <row r="84" spans="1:39" s="1536" customFormat="1" ht="15" customHeight="1">
      <c r="A84" s="1792"/>
      <c r="B84" s="2960" t="s">
        <v>151</v>
      </c>
      <c r="C84" s="296"/>
      <c r="D84" s="1545">
        <f>$AD84</f>
        <v>-2.6</v>
      </c>
      <c r="E84" s="1544"/>
      <c r="F84" s="1545"/>
      <c r="G84" s="1544"/>
      <c r="H84" s="1545"/>
      <c r="I84" s="1544"/>
      <c r="J84" s="1545"/>
      <c r="K84" s="2509"/>
      <c r="L84" s="2743"/>
      <c r="M84" s="2509"/>
      <c r="N84" s="2743"/>
      <c r="O84" s="2509"/>
      <c r="P84" s="2914"/>
      <c r="Q84" s="3314"/>
      <c r="R84" s="2914"/>
      <c r="S84" s="3314"/>
      <c r="T84" s="2914"/>
      <c r="U84" s="3314"/>
      <c r="V84" s="2914"/>
      <c r="W84" s="3314"/>
      <c r="X84" s="2914"/>
      <c r="Y84" s="3314"/>
      <c r="Z84" s="2914"/>
      <c r="AA84" s="3315"/>
      <c r="AB84" s="3316"/>
      <c r="AC84" s="3318"/>
      <c r="AD84" s="2914">
        <v>-2.6</v>
      </c>
      <c r="AE84" s="3354"/>
      <c r="AF84" s="3355"/>
      <c r="AG84" s="2914">
        <v>0</v>
      </c>
      <c r="AH84" s="1795"/>
      <c r="AI84" s="255"/>
      <c r="AJ84" s="1740">
        <f>ROUND(SUM(+AD84-AG84),1)</f>
        <v>-2.6</v>
      </c>
      <c r="AK84" s="1544"/>
      <c r="AL84" s="2843">
        <f>-ROUND(IF(AG84=0,1,AJ84/ABS(AG84)),3)</f>
        <v>-1</v>
      </c>
      <c r="AM84" s="2973"/>
    </row>
    <row r="85" spans="1:39" ht="15" customHeight="1">
      <c r="A85" s="340"/>
      <c r="B85" s="218"/>
      <c r="C85" s="218"/>
      <c r="D85" s="1210"/>
      <c r="E85" s="2502"/>
      <c r="F85" s="1210"/>
      <c r="G85" s="2502"/>
      <c r="H85" s="1210"/>
      <c r="I85" s="2502"/>
      <c r="J85" s="1210"/>
      <c r="K85" s="254"/>
      <c r="L85" s="277"/>
      <c r="M85" s="254"/>
      <c r="N85" s="277"/>
      <c r="O85" s="254"/>
      <c r="P85" s="3321"/>
      <c r="Q85" s="3322"/>
      <c r="R85" s="3321"/>
      <c r="S85" s="3322"/>
      <c r="T85" s="3321"/>
      <c r="U85" s="3322"/>
      <c r="V85" s="3321"/>
      <c r="W85" s="3322"/>
      <c r="X85" s="3321"/>
      <c r="Y85" s="3322"/>
      <c r="Z85" s="3321"/>
      <c r="AA85" s="3323"/>
      <c r="AB85" s="3322"/>
      <c r="AC85" s="3361"/>
      <c r="AD85" s="3321"/>
      <c r="AE85" s="3323"/>
      <c r="AF85" s="3325"/>
      <c r="AG85" s="3381"/>
      <c r="AH85" s="491"/>
      <c r="AI85" s="243"/>
      <c r="AJ85" s="2276"/>
      <c r="AK85" s="1583"/>
      <c r="AL85" s="2333"/>
      <c r="AM85" s="1349"/>
    </row>
    <row r="86" spans="1:39" ht="15" customHeight="1">
      <c r="A86" s="340"/>
      <c r="B86" s="216" t="s">
        <v>152</v>
      </c>
      <c r="C86" s="218"/>
      <c r="D86" s="1587">
        <f>ROUND(SUM(D40+D82+D84),1)</f>
        <v>1879.3</v>
      </c>
      <c r="E86" s="1587"/>
      <c r="F86" s="1587">
        <f>ROUND(SUM(F40+F82+F84),1)</f>
        <v>0</v>
      </c>
      <c r="G86" s="1587"/>
      <c r="H86" s="1587">
        <f>ROUND(SUM(H40+H82+H84),1)</f>
        <v>0</v>
      </c>
      <c r="I86" s="1587"/>
      <c r="J86" s="1587">
        <f>ROUND(SUM(J40+J82+J84),1)</f>
        <v>0</v>
      </c>
      <c r="K86" s="1587"/>
      <c r="L86" s="1587">
        <f>ROUND(SUM(L40+L82+L84),1)</f>
        <v>0</v>
      </c>
      <c r="M86" s="1587"/>
      <c r="N86" s="1587">
        <f>ROUND(SUM(N40+N82+N84),1)</f>
        <v>0</v>
      </c>
      <c r="O86" s="1587"/>
      <c r="P86" s="2348">
        <f>ROUND(SUM(P40+P82+P84),1)</f>
        <v>0</v>
      </c>
      <c r="Q86" s="2348"/>
      <c r="R86" s="2348">
        <f>ROUND(SUM(R40+R82+R84),1)</f>
        <v>0</v>
      </c>
      <c r="S86" s="2348"/>
      <c r="T86" s="2348">
        <f>ROUND(SUM(T40+T82+T84),1)</f>
        <v>0</v>
      </c>
      <c r="U86" s="2348"/>
      <c r="V86" s="2348">
        <f>ROUND(SUM(V40+V82+V84),1)</f>
        <v>0</v>
      </c>
      <c r="W86" s="2348"/>
      <c r="X86" s="2348">
        <f>ROUND(SUM(X40+X82+X84),1)</f>
        <v>0</v>
      </c>
      <c r="Y86" s="2348"/>
      <c r="Z86" s="2348">
        <f>ROUND(SUM(Z40+Z82+Z84),1)</f>
        <v>0</v>
      </c>
      <c r="AA86" s="2348"/>
      <c r="AB86" s="2348"/>
      <c r="AC86" s="3367"/>
      <c r="AD86" s="2348">
        <f>ROUND(SUM(AD40+AD82+AD84),1)</f>
        <v>1879.3</v>
      </c>
      <c r="AE86" s="2330"/>
      <c r="AF86" s="3328"/>
      <c r="AG86" s="3380">
        <f>ROUND(SUM(AG40+AG82+AG84),1)</f>
        <v>1680.7</v>
      </c>
      <c r="AH86" s="498"/>
      <c r="AI86" s="264"/>
      <c r="AJ86" s="1461">
        <f>ROUND(SUM(AJ40+AJ82+AJ84),1)</f>
        <v>198.6</v>
      </c>
      <c r="AK86" s="500"/>
      <c r="AL86" s="2320">
        <f>ROUND(SUM((AD86-AG86)/ABS(AG86)),3)</f>
        <v>0.11799999999999999</v>
      </c>
      <c r="AM86" s="1349"/>
    </row>
    <row r="87" spans="1:39" ht="15" customHeight="1">
      <c r="A87" s="340"/>
      <c r="B87" s="218"/>
      <c r="C87" s="218"/>
      <c r="D87" s="1210"/>
      <c r="E87" s="2502"/>
      <c r="F87" s="1210"/>
      <c r="G87" s="2502"/>
      <c r="H87" s="1210"/>
      <c r="I87" s="2502"/>
      <c r="J87" s="1210"/>
      <c r="K87" s="254"/>
      <c r="L87" s="277"/>
      <c r="M87" s="254"/>
      <c r="N87" s="277"/>
      <c r="O87" s="254"/>
      <c r="P87" s="3321"/>
      <c r="Q87" s="3322"/>
      <c r="R87" s="3321"/>
      <c r="S87" s="3322"/>
      <c r="T87" s="3321"/>
      <c r="U87" s="3322"/>
      <c r="V87" s="3321"/>
      <c r="W87" s="3322"/>
      <c r="X87" s="3321"/>
      <c r="Y87" s="3322"/>
      <c r="Z87" s="3321"/>
      <c r="AA87" s="3323"/>
      <c r="AB87" s="3322"/>
      <c r="AC87" s="3361"/>
      <c r="AD87" s="3321"/>
      <c r="AE87" s="3323"/>
      <c r="AF87" s="3325"/>
      <c r="AG87" s="3381"/>
      <c r="AH87" s="491"/>
      <c r="AI87" s="243"/>
      <c r="AJ87" s="1042"/>
      <c r="AK87" s="1583"/>
      <c r="AL87" s="2316"/>
      <c r="AM87" s="1349"/>
    </row>
    <row r="88" spans="1:39" ht="15" customHeight="1">
      <c r="A88" s="340"/>
      <c r="B88" s="363" t="s">
        <v>23</v>
      </c>
      <c r="C88" s="218"/>
      <c r="D88" s="2502"/>
      <c r="E88" s="2502"/>
      <c r="F88" s="2502"/>
      <c r="G88" s="2502"/>
      <c r="H88" s="2502"/>
      <c r="I88" s="2502"/>
      <c r="J88" s="2502"/>
      <c r="K88" s="254"/>
      <c r="L88" s="254"/>
      <c r="M88" s="254"/>
      <c r="N88" s="254"/>
      <c r="O88" s="254"/>
      <c r="P88" s="3322"/>
      <c r="Q88" s="3322"/>
      <c r="R88" s="3322"/>
      <c r="S88" s="3322"/>
      <c r="T88" s="3322"/>
      <c r="U88" s="3322"/>
      <c r="V88" s="3322"/>
      <c r="W88" s="3322"/>
      <c r="X88" s="3322"/>
      <c r="Y88" s="3322"/>
      <c r="Z88" s="3322"/>
      <c r="AA88" s="3322"/>
      <c r="AB88" s="3322"/>
      <c r="AC88" s="3361"/>
      <c r="AD88" s="3322"/>
      <c r="AE88" s="3323"/>
      <c r="AF88" s="3325"/>
      <c r="AG88" s="3311"/>
      <c r="AH88" s="491"/>
      <c r="AI88" s="243"/>
      <c r="AJ88" s="1042"/>
      <c r="AK88" s="1583"/>
      <c r="AL88" s="2316"/>
      <c r="AM88" s="1349"/>
    </row>
    <row r="89" spans="1:39" ht="12.75" customHeight="1">
      <c r="A89" s="340"/>
      <c r="B89" s="1212" t="s">
        <v>153</v>
      </c>
      <c r="C89" s="218"/>
      <c r="D89" s="1188"/>
      <c r="E89" s="2502"/>
      <c r="F89" s="1188"/>
      <c r="G89" s="2502"/>
      <c r="H89" s="2502"/>
      <c r="I89" s="2502"/>
      <c r="J89" s="1188"/>
      <c r="K89" s="254"/>
      <c r="L89" s="265"/>
      <c r="M89" s="254"/>
      <c r="N89" s="265"/>
      <c r="O89" s="254"/>
      <c r="P89" s="3331"/>
      <c r="Q89" s="3322"/>
      <c r="R89" s="3331"/>
      <c r="S89" s="3322"/>
      <c r="T89" s="3331"/>
      <c r="U89" s="3322"/>
      <c r="V89" s="3322"/>
      <c r="W89" s="3322"/>
      <c r="X89" s="3331"/>
      <c r="Y89" s="3322"/>
      <c r="Z89" s="3322"/>
      <c r="AA89" s="3322"/>
      <c r="AB89" s="3322"/>
      <c r="AC89" s="3361"/>
      <c r="AD89" s="3368"/>
      <c r="AE89" s="3322"/>
      <c r="AF89" s="3325"/>
      <c r="AG89" s="3309"/>
      <c r="AH89" s="491"/>
      <c r="AI89" s="243"/>
      <c r="AJ89" s="1042"/>
      <c r="AK89" s="1583"/>
      <c r="AL89" s="2334"/>
      <c r="AM89" s="1349"/>
    </row>
    <row r="90" spans="1:39" s="1536" customFormat="1" ht="15" customHeight="1">
      <c r="A90" s="1792"/>
      <c r="B90" s="2956" t="s">
        <v>25</v>
      </c>
      <c r="C90" s="296"/>
      <c r="D90" s="1545">
        <f>$AD90</f>
        <v>0.1</v>
      </c>
      <c r="E90" s="2502"/>
      <c r="F90" s="1545"/>
      <c r="G90" s="2502"/>
      <c r="H90" s="1545"/>
      <c r="I90" s="2502"/>
      <c r="J90" s="1545"/>
      <c r="K90" s="2509"/>
      <c r="L90" s="2743"/>
      <c r="M90" s="2509"/>
      <c r="N90" s="2743"/>
      <c r="O90" s="2509"/>
      <c r="P90" s="2914"/>
      <c r="Q90" s="3314"/>
      <c r="R90" s="2914"/>
      <c r="S90" s="3314"/>
      <c r="T90" s="2914"/>
      <c r="U90" s="3314"/>
      <c r="V90" s="2914"/>
      <c r="W90" s="3314"/>
      <c r="X90" s="2914"/>
      <c r="Y90" s="3314"/>
      <c r="Z90" s="2914"/>
      <c r="AA90" s="3315"/>
      <c r="AB90" s="3316"/>
      <c r="AC90" s="3318"/>
      <c r="AD90" s="2914">
        <v>0.1</v>
      </c>
      <c r="AE90" s="3354"/>
      <c r="AF90" s="3355"/>
      <c r="AG90" s="2914">
        <v>0</v>
      </c>
      <c r="AH90" s="1795"/>
      <c r="AI90" s="255"/>
      <c r="AJ90" s="1544">
        <f>ROUND(SUM(+AD90-AG90),1)</f>
        <v>0.1</v>
      </c>
      <c r="AK90" s="1544"/>
      <c r="AL90" s="2849">
        <f>ROUND(IF(AG90=0,1,AJ90/ABS(AG90)),3)</f>
        <v>1</v>
      </c>
      <c r="AM90" s="2973"/>
    </row>
    <row r="91" spans="1:39" s="1536" customFormat="1" ht="15" customHeight="1">
      <c r="A91" s="1792"/>
      <c r="B91" s="2956" t="s">
        <v>26</v>
      </c>
      <c r="C91" s="296"/>
      <c r="D91" s="1545">
        <f t="shared" ref="D91:D99" si="10">$AD91</f>
        <v>0</v>
      </c>
      <c r="E91" s="2502"/>
      <c r="F91" s="1545"/>
      <c r="G91" s="2502"/>
      <c r="H91" s="1545"/>
      <c r="I91" s="2502"/>
      <c r="J91" s="1545"/>
      <c r="K91" s="2509"/>
      <c r="L91" s="2743"/>
      <c r="M91" s="2509"/>
      <c r="N91" s="2743"/>
      <c r="O91" s="2509"/>
      <c r="P91" s="2914"/>
      <c r="Q91" s="3314"/>
      <c r="R91" s="2914"/>
      <c r="S91" s="3314"/>
      <c r="T91" s="2914"/>
      <c r="U91" s="3314"/>
      <c r="V91" s="2914"/>
      <c r="W91" s="3314"/>
      <c r="X91" s="2914"/>
      <c r="Y91" s="3314"/>
      <c r="Z91" s="2914"/>
      <c r="AA91" s="3315"/>
      <c r="AB91" s="3316"/>
      <c r="AC91" s="3318"/>
      <c r="AD91" s="2914">
        <v>0</v>
      </c>
      <c r="AE91" s="3354"/>
      <c r="AF91" s="3355"/>
      <c r="AG91" s="2914">
        <v>0.3</v>
      </c>
      <c r="AH91" s="1795"/>
      <c r="AI91" s="255"/>
      <c r="AJ91" s="1544">
        <f>ROUND(SUM(+AD91-AG91),1)</f>
        <v>-0.3</v>
      </c>
      <c r="AK91" s="1544"/>
      <c r="AL91" s="2972">
        <f>ROUND(IF(AG91=0,1,AJ91/ABS(AG91)),3)</f>
        <v>-1</v>
      </c>
      <c r="AM91" s="2973"/>
    </row>
    <row r="92" spans="1:39" s="1536" customFormat="1" ht="15" customHeight="1">
      <c r="A92" s="1792"/>
      <c r="B92" s="2956" t="s">
        <v>27</v>
      </c>
      <c r="C92" s="296"/>
      <c r="D92" s="1545">
        <f t="shared" si="10"/>
        <v>10.5</v>
      </c>
      <c r="E92" s="2502"/>
      <c r="F92" s="1545"/>
      <c r="G92" s="2502"/>
      <c r="H92" s="1545"/>
      <c r="I92" s="2502"/>
      <c r="J92" s="1545"/>
      <c r="K92" s="2509"/>
      <c r="L92" s="2743"/>
      <c r="M92" s="2509"/>
      <c r="N92" s="2743"/>
      <c r="O92" s="2509"/>
      <c r="P92" s="2914"/>
      <c r="Q92" s="3314"/>
      <c r="R92" s="2914"/>
      <c r="S92" s="3314"/>
      <c r="T92" s="2914"/>
      <c r="U92" s="3314"/>
      <c r="V92" s="2914"/>
      <c r="W92" s="3314"/>
      <c r="X92" s="2914"/>
      <c r="Y92" s="3314"/>
      <c r="Z92" s="2914"/>
      <c r="AA92" s="3315"/>
      <c r="AB92" s="3316"/>
      <c r="AC92" s="3318"/>
      <c r="AD92" s="2914">
        <v>10.5</v>
      </c>
      <c r="AE92" s="3354"/>
      <c r="AF92" s="3355"/>
      <c r="AG92" s="2914">
        <v>15.6</v>
      </c>
      <c r="AH92" s="1795"/>
      <c r="AI92" s="255"/>
      <c r="AJ92" s="1544">
        <f>ROUND(SUM(+AD92-AG92),1)</f>
        <v>-5.0999999999999996</v>
      </c>
      <c r="AK92" s="1544"/>
      <c r="AL92" s="2972">
        <f>ROUND(IF(AG92=0,0,AJ92/ABS(AG92)),3)</f>
        <v>-0.32700000000000001</v>
      </c>
      <c r="AM92" s="2973"/>
    </row>
    <row r="93" spans="1:39" s="1536" customFormat="1" ht="15" customHeight="1">
      <c r="A93" s="1792"/>
      <c r="B93" s="1212" t="s">
        <v>1434</v>
      </c>
      <c r="C93" s="296"/>
      <c r="D93" s="1545" t="s">
        <v>15</v>
      </c>
      <c r="E93" s="2502"/>
      <c r="F93" s="1545"/>
      <c r="G93" s="2502"/>
      <c r="H93" s="1545"/>
      <c r="I93" s="2502"/>
      <c r="J93" s="1545"/>
      <c r="K93" s="2509"/>
      <c r="L93" s="2743"/>
      <c r="M93" s="2509"/>
      <c r="N93" s="2743"/>
      <c r="O93" s="2509"/>
      <c r="P93" s="2914"/>
      <c r="Q93" s="3314"/>
      <c r="R93" s="2914"/>
      <c r="S93" s="3314"/>
      <c r="T93" s="2914"/>
      <c r="U93" s="3314"/>
      <c r="V93" s="2914"/>
      <c r="W93" s="3314"/>
      <c r="X93" s="2914"/>
      <c r="Y93" s="3314"/>
      <c r="Z93" s="2914"/>
      <c r="AA93" s="3315"/>
      <c r="AB93" s="3316"/>
      <c r="AC93" s="3318"/>
      <c r="AD93" s="2914"/>
      <c r="AE93" s="3354"/>
      <c r="AF93" s="3355"/>
      <c r="AG93" s="2914"/>
      <c r="AH93" s="1795"/>
      <c r="AI93" s="255"/>
      <c r="AJ93" s="1544"/>
      <c r="AK93" s="1540"/>
      <c r="AL93" s="2972"/>
      <c r="AM93" s="2973"/>
    </row>
    <row r="94" spans="1:39" s="1536" customFormat="1" ht="15" customHeight="1">
      <c r="A94" s="1792"/>
      <c r="B94" s="2957" t="s">
        <v>29</v>
      </c>
      <c r="C94" s="296"/>
      <c r="D94" s="1545">
        <f t="shared" si="10"/>
        <v>280.29999999999995</v>
      </c>
      <c r="E94" s="2502"/>
      <c r="F94" s="1545"/>
      <c r="G94" s="2502"/>
      <c r="H94" s="1545"/>
      <c r="I94" s="2502"/>
      <c r="J94" s="1545"/>
      <c r="K94" s="2509"/>
      <c r="L94" s="2743"/>
      <c r="M94" s="2509"/>
      <c r="N94" s="2743"/>
      <c r="O94" s="2509"/>
      <c r="P94" s="2914"/>
      <c r="Q94" s="3314"/>
      <c r="R94" s="2914"/>
      <c r="S94" s="3314"/>
      <c r="T94" s="2914"/>
      <c r="U94" s="3314"/>
      <c r="V94" s="2914"/>
      <c r="W94" s="3314"/>
      <c r="X94" s="2914"/>
      <c r="Y94" s="3314"/>
      <c r="Z94" s="2914"/>
      <c r="AA94" s="3315"/>
      <c r="AB94" s="3316"/>
      <c r="AC94" s="3318"/>
      <c r="AD94" s="2914">
        <v>280.29999999999995</v>
      </c>
      <c r="AE94" s="3354"/>
      <c r="AF94" s="3355"/>
      <c r="AG94" s="2914">
        <v>388.7</v>
      </c>
      <c r="AH94" s="1795"/>
      <c r="AI94" s="255"/>
      <c r="AJ94" s="1544">
        <f t="shared" ref="AJ94:AJ99" si="11">ROUND(SUM(+AD94-AG94),1)</f>
        <v>-108.4</v>
      </c>
      <c r="AK94" s="1544"/>
      <c r="AL94" s="2972">
        <f t="shared" ref="AL94:AL99" si="12">ROUND(IF(AG94=0,0,AJ94/ABS(AG94)),3)</f>
        <v>-0.27900000000000003</v>
      </c>
      <c r="AM94" s="2973"/>
    </row>
    <row r="95" spans="1:39" s="1536" customFormat="1" ht="15" customHeight="1">
      <c r="A95" s="1792"/>
      <c r="B95" s="2956" t="s">
        <v>30</v>
      </c>
      <c r="C95" s="296"/>
      <c r="D95" s="1545">
        <f t="shared" si="10"/>
        <v>62.800000000000004</v>
      </c>
      <c r="E95" s="2502"/>
      <c r="F95" s="1545"/>
      <c r="G95" s="2502"/>
      <c r="H95" s="1545"/>
      <c r="I95" s="2502"/>
      <c r="J95" s="1545"/>
      <c r="K95" s="2509"/>
      <c r="L95" s="2743"/>
      <c r="M95" s="2509"/>
      <c r="N95" s="2743"/>
      <c r="O95" s="2509"/>
      <c r="P95" s="2914"/>
      <c r="Q95" s="3314"/>
      <c r="R95" s="2914"/>
      <c r="S95" s="3314"/>
      <c r="T95" s="2914"/>
      <c r="U95" s="3314"/>
      <c r="V95" s="2914"/>
      <c r="W95" s="3314"/>
      <c r="X95" s="2914"/>
      <c r="Y95" s="3314"/>
      <c r="Z95" s="2914"/>
      <c r="AA95" s="3315"/>
      <c r="AB95" s="3316"/>
      <c r="AC95" s="3318"/>
      <c r="AD95" s="2914">
        <v>62.800000000000004</v>
      </c>
      <c r="AE95" s="3354"/>
      <c r="AF95" s="3355"/>
      <c r="AG95" s="2914">
        <v>79.7</v>
      </c>
      <c r="AH95" s="1795"/>
      <c r="AI95" s="255"/>
      <c r="AJ95" s="1544">
        <f t="shared" si="11"/>
        <v>-16.899999999999999</v>
      </c>
      <c r="AK95" s="1544"/>
      <c r="AL95" s="2972">
        <f t="shared" si="12"/>
        <v>-0.21199999999999999</v>
      </c>
      <c r="AM95" s="2973"/>
    </row>
    <row r="96" spans="1:39" s="1536" customFormat="1" ht="15" customHeight="1">
      <c r="A96" s="1792"/>
      <c r="B96" s="2956" t="s">
        <v>31</v>
      </c>
      <c r="C96" s="296"/>
      <c r="D96" s="1545">
        <f t="shared" si="10"/>
        <v>11.8</v>
      </c>
      <c r="E96" s="2502"/>
      <c r="F96" s="1545"/>
      <c r="G96" s="2502"/>
      <c r="H96" s="1545"/>
      <c r="I96" s="2502"/>
      <c r="J96" s="1545"/>
      <c r="K96" s="2509"/>
      <c r="L96" s="2743"/>
      <c r="M96" s="2509"/>
      <c r="N96" s="2743"/>
      <c r="O96" s="2509"/>
      <c r="P96" s="2914"/>
      <c r="Q96" s="3314"/>
      <c r="R96" s="2914"/>
      <c r="S96" s="3314"/>
      <c r="T96" s="2914"/>
      <c r="U96" s="3314"/>
      <c r="V96" s="2914"/>
      <c r="W96" s="3314"/>
      <c r="X96" s="2914"/>
      <c r="Y96" s="3314"/>
      <c r="Z96" s="2914"/>
      <c r="AA96" s="3315"/>
      <c r="AB96" s="3316"/>
      <c r="AC96" s="3318"/>
      <c r="AD96" s="2914">
        <v>11.8</v>
      </c>
      <c r="AE96" s="3354"/>
      <c r="AF96" s="3355"/>
      <c r="AG96" s="2914">
        <v>13.5</v>
      </c>
      <c r="AH96" s="1795"/>
      <c r="AI96" s="255"/>
      <c r="AJ96" s="1544">
        <f t="shared" si="11"/>
        <v>-1.7</v>
      </c>
      <c r="AK96" s="1544"/>
      <c r="AL96" s="2972">
        <f t="shared" si="12"/>
        <v>-0.126</v>
      </c>
      <c r="AM96" s="2973"/>
    </row>
    <row r="97" spans="1:39" s="1536" customFormat="1" ht="15" customHeight="1">
      <c r="A97" s="1792"/>
      <c r="B97" s="2956" t="s">
        <v>32</v>
      </c>
      <c r="C97" s="296"/>
      <c r="D97" s="1545">
        <f t="shared" si="10"/>
        <v>0.5</v>
      </c>
      <c r="E97" s="2502"/>
      <c r="F97" s="1545"/>
      <c r="G97" s="2502"/>
      <c r="H97" s="1545"/>
      <c r="I97" s="2502"/>
      <c r="J97" s="1545"/>
      <c r="K97" s="2509"/>
      <c r="L97" s="2743"/>
      <c r="M97" s="2509"/>
      <c r="N97" s="2743"/>
      <c r="O97" s="2509"/>
      <c r="P97" s="2914"/>
      <c r="Q97" s="3314"/>
      <c r="R97" s="2914"/>
      <c r="S97" s="3314"/>
      <c r="T97" s="2914"/>
      <c r="U97" s="3314"/>
      <c r="V97" s="2914"/>
      <c r="W97" s="3314"/>
      <c r="X97" s="2914"/>
      <c r="Y97" s="3314"/>
      <c r="Z97" s="2914"/>
      <c r="AA97" s="3315"/>
      <c r="AB97" s="3316"/>
      <c r="AC97" s="3318"/>
      <c r="AD97" s="2914">
        <v>0.5</v>
      </c>
      <c r="AE97" s="3354"/>
      <c r="AF97" s="3355"/>
      <c r="AG97" s="2914">
        <v>0.3</v>
      </c>
      <c r="AH97" s="1795"/>
      <c r="AI97" s="255"/>
      <c r="AJ97" s="1544">
        <f t="shared" si="11"/>
        <v>0.2</v>
      </c>
      <c r="AK97" s="1544"/>
      <c r="AL97" s="2972">
        <f t="shared" si="12"/>
        <v>0.66700000000000004</v>
      </c>
      <c r="AM97" s="2973"/>
    </row>
    <row r="98" spans="1:39" s="1536" customFormat="1" ht="15" customHeight="1">
      <c r="A98" s="1792"/>
      <c r="B98" s="2956" t="s">
        <v>33</v>
      </c>
      <c r="C98" s="296"/>
      <c r="D98" s="1545">
        <f t="shared" si="10"/>
        <v>0.1</v>
      </c>
      <c r="E98" s="2502"/>
      <c r="F98" s="1545"/>
      <c r="G98" s="2502"/>
      <c r="H98" s="1545"/>
      <c r="I98" s="2502"/>
      <c r="J98" s="1545"/>
      <c r="K98" s="2509"/>
      <c r="L98" s="2743"/>
      <c r="M98" s="2509"/>
      <c r="N98" s="2743"/>
      <c r="O98" s="2509"/>
      <c r="P98" s="2914"/>
      <c r="Q98" s="3314"/>
      <c r="R98" s="2914"/>
      <c r="S98" s="3314"/>
      <c r="T98" s="2914"/>
      <c r="U98" s="3314"/>
      <c r="V98" s="2914"/>
      <c r="W98" s="3314"/>
      <c r="X98" s="2914"/>
      <c r="Y98" s="3314"/>
      <c r="Z98" s="2914"/>
      <c r="AA98" s="3315"/>
      <c r="AB98" s="3316"/>
      <c r="AC98" s="3318"/>
      <c r="AD98" s="2914">
        <v>0.1</v>
      </c>
      <c r="AE98" s="3354"/>
      <c r="AF98" s="3355"/>
      <c r="AG98" s="2914">
        <v>1.8</v>
      </c>
      <c r="AH98" s="1795"/>
      <c r="AI98" s="255"/>
      <c r="AJ98" s="1544">
        <f t="shared" si="11"/>
        <v>-1.7</v>
      </c>
      <c r="AK98" s="1544"/>
      <c r="AL98" s="2983">
        <f>ROUND(IF(AG98=0,0,AJ98/ABS(AG98)),3)</f>
        <v>-0.94399999999999995</v>
      </c>
      <c r="AM98" s="2973"/>
    </row>
    <row r="99" spans="1:39" s="1536" customFormat="1" ht="15" customHeight="1">
      <c r="A99" s="1792"/>
      <c r="B99" s="2956" t="s">
        <v>34</v>
      </c>
      <c r="C99" s="296"/>
      <c r="D99" s="1545">
        <f t="shared" si="10"/>
        <v>189.9</v>
      </c>
      <c r="E99" s="2502"/>
      <c r="F99" s="1545"/>
      <c r="G99" s="2502"/>
      <c r="H99" s="1545"/>
      <c r="I99" s="2502"/>
      <c r="J99" s="1545"/>
      <c r="K99" s="2509"/>
      <c r="L99" s="2743"/>
      <c r="M99" s="2509"/>
      <c r="N99" s="2743"/>
      <c r="O99" s="2509"/>
      <c r="P99" s="2914"/>
      <c r="Q99" s="3314"/>
      <c r="R99" s="2914"/>
      <c r="S99" s="3314"/>
      <c r="T99" s="2914"/>
      <c r="U99" s="3314"/>
      <c r="V99" s="2914"/>
      <c r="W99" s="3314"/>
      <c r="X99" s="2914"/>
      <c r="Y99" s="3314"/>
      <c r="Z99" s="2914"/>
      <c r="AA99" s="3315"/>
      <c r="AB99" s="3316"/>
      <c r="AC99" s="3318"/>
      <c r="AD99" s="2914">
        <v>189.9</v>
      </c>
      <c r="AE99" s="3354"/>
      <c r="AF99" s="3355"/>
      <c r="AG99" s="2914">
        <v>244.6</v>
      </c>
      <c r="AH99" s="1795"/>
      <c r="AI99" s="255"/>
      <c r="AJ99" s="1544">
        <f t="shared" si="11"/>
        <v>-54.7</v>
      </c>
      <c r="AK99" s="1544"/>
      <c r="AL99" s="2972">
        <f t="shared" si="12"/>
        <v>-0.224</v>
      </c>
      <c r="AM99" s="2973"/>
    </row>
    <row r="100" spans="1:39" ht="15" customHeight="1">
      <c r="A100" s="340"/>
      <c r="B100" s="216" t="s">
        <v>1305</v>
      </c>
      <c r="C100" s="218"/>
      <c r="D100" s="517">
        <f>ROUND(SUM(D90:D99),1)</f>
        <v>556</v>
      </c>
      <c r="E100" s="1587"/>
      <c r="F100" s="517">
        <f>ROUND(SUM(F90:F99),1)</f>
        <v>0</v>
      </c>
      <c r="G100" s="1587"/>
      <c r="H100" s="517">
        <f>ROUND(SUM(H90:H99),1)</f>
        <v>0</v>
      </c>
      <c r="I100" s="1587"/>
      <c r="J100" s="517">
        <f>ROUND(SUM(J90:J99),1)</f>
        <v>0</v>
      </c>
      <c r="K100" s="1587"/>
      <c r="L100" s="517">
        <f>ROUND(SUM(L90:L99),1)</f>
        <v>0</v>
      </c>
      <c r="M100" s="1587"/>
      <c r="N100" s="517">
        <f>ROUND(SUM(N90:N99),1)</f>
        <v>0</v>
      </c>
      <c r="O100" s="1587"/>
      <c r="P100" s="3332">
        <f>ROUND(SUM(P90:P99),1)</f>
        <v>0</v>
      </c>
      <c r="Q100" s="2348"/>
      <c r="R100" s="3332">
        <f>ROUND(SUM(R90:R99),1)</f>
        <v>0</v>
      </c>
      <c r="S100" s="2348"/>
      <c r="T100" s="3332">
        <f>ROUND(SUM(T90:T99),1)</f>
        <v>0</v>
      </c>
      <c r="U100" s="2348"/>
      <c r="V100" s="3332">
        <f>ROUND(SUM(V90:V99),1)</f>
        <v>0</v>
      </c>
      <c r="W100" s="2348"/>
      <c r="X100" s="3332">
        <f>ROUND(SUM(X90:X99),1)</f>
        <v>0</v>
      </c>
      <c r="Y100" s="2348"/>
      <c r="Z100" s="3332">
        <f>ROUND(SUM(Z90:Z99),1)</f>
        <v>0</v>
      </c>
      <c r="AA100" s="2330"/>
      <c r="AB100" s="2348"/>
      <c r="AC100" s="3367"/>
      <c r="AD100" s="3333">
        <f>ROUND(SUM(AD90:AD99),1)</f>
        <v>556</v>
      </c>
      <c r="AE100" s="2330"/>
      <c r="AF100" s="3328"/>
      <c r="AG100" s="3333">
        <f>ROUND(SUM(AG90:AG99),1)</f>
        <v>744.5</v>
      </c>
      <c r="AH100" s="498"/>
      <c r="AI100" s="264"/>
      <c r="AJ100" s="249">
        <f>ROUND(SUM(AD100-AG100),1)</f>
        <v>-188.5</v>
      </c>
      <c r="AK100" s="356"/>
      <c r="AL100" s="2319">
        <f>ROUND(SUM((AD100-AG100)/ABS(AG100)),3)</f>
        <v>-0.253</v>
      </c>
      <c r="AM100" s="1349"/>
    </row>
    <row r="101" spans="1:39" ht="15" customHeight="1">
      <c r="A101" s="340"/>
      <c r="B101" s="218" t="s">
        <v>172</v>
      </c>
      <c r="C101" s="218"/>
      <c r="D101" s="2502"/>
      <c r="E101" s="2502"/>
      <c r="F101" s="2502"/>
      <c r="G101" s="2502"/>
      <c r="H101" s="2502"/>
      <c r="I101" s="2502"/>
      <c r="J101" s="2502"/>
      <c r="K101" s="254"/>
      <c r="L101" s="254"/>
      <c r="M101" s="254"/>
      <c r="N101" s="254"/>
      <c r="O101" s="254"/>
      <c r="P101" s="3322"/>
      <c r="Q101" s="3322"/>
      <c r="R101" s="3322"/>
      <c r="S101" s="3322"/>
      <c r="T101" s="3322"/>
      <c r="U101" s="3322"/>
      <c r="V101" s="3322"/>
      <c r="W101" s="3322"/>
      <c r="X101" s="3322"/>
      <c r="Y101" s="3322"/>
      <c r="Z101" s="3322"/>
      <c r="AA101" s="3322"/>
      <c r="AB101" s="3322"/>
      <c r="AC101" s="3361"/>
      <c r="AD101" s="3311"/>
      <c r="AE101" s="3322"/>
      <c r="AF101" s="3325"/>
      <c r="AG101" s="3311"/>
      <c r="AH101" s="491"/>
      <c r="AI101" s="243"/>
      <c r="AJ101" s="1042"/>
      <c r="AK101" s="1583"/>
      <c r="AL101" s="2316"/>
      <c r="AM101" s="1349"/>
    </row>
    <row r="102" spans="1:39" s="1536" customFormat="1" ht="15" customHeight="1">
      <c r="A102" s="1792"/>
      <c r="B102" s="296" t="s">
        <v>155</v>
      </c>
      <c r="C102" s="296"/>
      <c r="D102" s="1545">
        <f>$AD102</f>
        <v>382.9</v>
      </c>
      <c r="E102" s="2502"/>
      <c r="F102" s="1545"/>
      <c r="G102" s="2502"/>
      <c r="H102" s="1545"/>
      <c r="I102" s="2502"/>
      <c r="J102" s="1545"/>
      <c r="K102" s="2509"/>
      <c r="L102" s="2743"/>
      <c r="M102" s="2509"/>
      <c r="N102" s="2743"/>
      <c r="O102" s="2509"/>
      <c r="P102" s="2914"/>
      <c r="Q102" s="3314"/>
      <c r="R102" s="2914"/>
      <c r="S102" s="3314"/>
      <c r="T102" s="2914"/>
      <c r="U102" s="3314"/>
      <c r="V102" s="2914"/>
      <c r="W102" s="3314"/>
      <c r="X102" s="2914"/>
      <c r="Y102" s="3314"/>
      <c r="Z102" s="2914"/>
      <c r="AA102" s="3315"/>
      <c r="AB102" s="3316"/>
      <c r="AC102" s="3318"/>
      <c r="AD102" s="2914">
        <v>382.9</v>
      </c>
      <c r="AE102" s="3354"/>
      <c r="AF102" s="3355"/>
      <c r="AG102" s="2914">
        <v>565</v>
      </c>
      <c r="AH102" s="1795"/>
      <c r="AI102" s="255"/>
      <c r="AJ102" s="1544">
        <f>ROUND(SUM(+AD102-AG102),1)</f>
        <v>-182.1</v>
      </c>
      <c r="AK102" s="1544"/>
      <c r="AL102" s="2972">
        <f>ROUND(IF(AG102=0,0,AJ102/ABS(AG102)),3)</f>
        <v>-0.32200000000000001</v>
      </c>
      <c r="AM102" s="2973"/>
    </row>
    <row r="103" spans="1:39" s="1536" customFormat="1" ht="15" customHeight="1">
      <c r="A103" s="1792"/>
      <c r="B103" s="296" t="s">
        <v>173</v>
      </c>
      <c r="C103" s="296"/>
      <c r="D103" s="1545">
        <f t="shared" ref="D103:D105" si="13">$AD103</f>
        <v>182.7</v>
      </c>
      <c r="E103" s="2502"/>
      <c r="F103" s="1545"/>
      <c r="G103" s="2502"/>
      <c r="H103" s="1545"/>
      <c r="I103" s="2502"/>
      <c r="J103" s="1545"/>
      <c r="K103" s="2509"/>
      <c r="L103" s="2743"/>
      <c r="M103" s="2509"/>
      <c r="N103" s="2743"/>
      <c r="O103" s="2509"/>
      <c r="P103" s="2914"/>
      <c r="Q103" s="3314"/>
      <c r="R103" s="2914"/>
      <c r="S103" s="3314"/>
      <c r="T103" s="2914"/>
      <c r="U103" s="3314"/>
      <c r="V103" s="2914"/>
      <c r="W103" s="3314"/>
      <c r="X103" s="2914"/>
      <c r="Y103" s="3314"/>
      <c r="Z103" s="2914"/>
      <c r="AA103" s="3315"/>
      <c r="AB103" s="3316"/>
      <c r="AC103" s="3318"/>
      <c r="AD103" s="2914">
        <v>182.7</v>
      </c>
      <c r="AE103" s="3354"/>
      <c r="AF103" s="3355"/>
      <c r="AG103" s="2914">
        <v>229.9</v>
      </c>
      <c r="AH103" s="1795"/>
      <c r="AI103" s="255"/>
      <c r="AJ103" s="1544">
        <f>ROUND(SUM(+AD103-AG103),1)</f>
        <v>-47.2</v>
      </c>
      <c r="AK103" s="1544"/>
      <c r="AL103" s="2972">
        <f>ROUND(IF(AG103=0,0,AJ103/ABS(AG103)),3)</f>
        <v>-0.20499999999999999</v>
      </c>
      <c r="AM103" s="2973"/>
    </row>
    <row r="104" spans="1:39" s="1536" customFormat="1" ht="15" customHeight="1">
      <c r="A104" s="1792"/>
      <c r="B104" s="296" t="s">
        <v>174</v>
      </c>
      <c r="C104" s="296"/>
      <c r="D104" s="1545">
        <f t="shared" si="13"/>
        <v>119.5</v>
      </c>
      <c r="E104" s="2502"/>
      <c r="F104" s="1545"/>
      <c r="G104" s="2502"/>
      <c r="H104" s="1545"/>
      <c r="I104" s="2502"/>
      <c r="J104" s="1545"/>
      <c r="K104" s="2509"/>
      <c r="L104" s="2743"/>
      <c r="M104" s="2509"/>
      <c r="N104" s="2743"/>
      <c r="O104" s="2509"/>
      <c r="P104" s="2914"/>
      <c r="Q104" s="3314"/>
      <c r="R104" s="2914"/>
      <c r="S104" s="3314"/>
      <c r="T104" s="2914"/>
      <c r="U104" s="3314"/>
      <c r="V104" s="2914"/>
      <c r="W104" s="3314"/>
      <c r="X104" s="2914"/>
      <c r="Y104" s="3314"/>
      <c r="Z104" s="2914"/>
      <c r="AA104" s="3315"/>
      <c r="AB104" s="3316"/>
      <c r="AC104" s="3318"/>
      <c r="AD104" s="2914">
        <v>119.5</v>
      </c>
      <c r="AE104" s="3354"/>
      <c r="AF104" s="3355"/>
      <c r="AG104" s="2914">
        <v>54.2</v>
      </c>
      <c r="AH104" s="1795"/>
      <c r="AI104" s="255"/>
      <c r="AJ104" s="1544">
        <f>ROUND(SUM(+AD104-AG104),1)</f>
        <v>65.3</v>
      </c>
      <c r="AK104" s="1544"/>
      <c r="AL104" s="2972">
        <f>ROUND(IF(AG104=0,0,AJ104/ABS(AG104)),3)</f>
        <v>1.2050000000000001</v>
      </c>
      <c r="AM104" s="2973"/>
    </row>
    <row r="105" spans="1:39" s="1536" customFormat="1" ht="15" customHeight="1">
      <c r="A105" s="1792"/>
      <c r="B105" s="296" t="s">
        <v>175</v>
      </c>
      <c r="C105" s="296"/>
      <c r="D105" s="1545">
        <f t="shared" si="13"/>
        <v>0</v>
      </c>
      <c r="E105" s="2502"/>
      <c r="F105" s="1545"/>
      <c r="G105" s="2502"/>
      <c r="H105" s="1545"/>
      <c r="I105" s="2502"/>
      <c r="J105" s="1545"/>
      <c r="K105" s="2509"/>
      <c r="L105" s="2743"/>
      <c r="M105" s="2509"/>
      <c r="N105" s="2743"/>
      <c r="O105" s="2509"/>
      <c r="P105" s="2914"/>
      <c r="Q105" s="3314"/>
      <c r="R105" s="2914"/>
      <c r="S105" s="3314"/>
      <c r="T105" s="2914"/>
      <c r="U105" s="3314"/>
      <c r="V105" s="2914"/>
      <c r="W105" s="3314"/>
      <c r="X105" s="2914"/>
      <c r="Y105" s="3314"/>
      <c r="Z105" s="2914"/>
      <c r="AA105" s="3315"/>
      <c r="AB105" s="3316"/>
      <c r="AC105" s="3318"/>
      <c r="AD105" s="2914">
        <v>0</v>
      </c>
      <c r="AE105" s="3354"/>
      <c r="AF105" s="3355"/>
      <c r="AG105" s="2914">
        <v>0</v>
      </c>
      <c r="AH105" s="1795"/>
      <c r="AI105" s="255"/>
      <c r="AJ105" s="1544">
        <f>ROUND(SUM(+AD105-AG105),1)</f>
        <v>0</v>
      </c>
      <c r="AK105" s="1544"/>
      <c r="AL105" s="2843">
        <f>ROUND(IF(AG105=0,0,AJ105/ABS(AG105)),3)</f>
        <v>0</v>
      </c>
      <c r="AM105" s="2973"/>
    </row>
    <row r="106" spans="1:39" ht="15" customHeight="1">
      <c r="A106" s="340"/>
      <c r="B106" s="218"/>
      <c r="C106" s="218"/>
      <c r="D106" s="1210"/>
      <c r="E106" s="2502"/>
      <c r="F106" s="1210"/>
      <c r="G106" s="2502"/>
      <c r="H106" s="1210"/>
      <c r="I106" s="2502"/>
      <c r="J106" s="1210"/>
      <c r="K106" s="254"/>
      <c r="L106" s="277"/>
      <c r="M106" s="254"/>
      <c r="N106" s="277"/>
      <c r="O106" s="254"/>
      <c r="P106" s="3321"/>
      <c r="Q106" s="3322"/>
      <c r="R106" s="3321"/>
      <c r="S106" s="3322"/>
      <c r="T106" s="3321"/>
      <c r="U106" s="3322"/>
      <c r="V106" s="3321"/>
      <c r="W106" s="3322"/>
      <c r="X106" s="3321"/>
      <c r="Y106" s="3322"/>
      <c r="Z106" s="3321"/>
      <c r="AA106" s="3323"/>
      <c r="AB106" s="3322"/>
      <c r="AC106" s="3361"/>
      <c r="AD106" s="3321"/>
      <c r="AE106" s="3323"/>
      <c r="AF106" s="3325"/>
      <c r="AG106" s="3381"/>
      <c r="AH106" s="491"/>
      <c r="AI106" s="243"/>
      <c r="AJ106" s="2276"/>
      <c r="AK106" s="1583"/>
      <c r="AL106" s="2333"/>
      <c r="AM106" s="1349"/>
    </row>
    <row r="107" spans="1:39" ht="15" customHeight="1">
      <c r="A107" s="340"/>
      <c r="B107" s="216" t="s">
        <v>158</v>
      </c>
      <c r="C107" s="218"/>
      <c r="D107" s="1587">
        <f>ROUND(SUM(D100:D105),1)</f>
        <v>1241.0999999999999</v>
      </c>
      <c r="E107" s="1587"/>
      <c r="F107" s="1587">
        <f>ROUND(SUM(F100:F105),1)</f>
        <v>0</v>
      </c>
      <c r="G107" s="1587"/>
      <c r="H107" s="1587">
        <f>ROUND(SUM(H100:H105),1)</f>
        <v>0</v>
      </c>
      <c r="I107" s="1587"/>
      <c r="J107" s="1587">
        <f>ROUND(SUM(J100:J105),1)</f>
        <v>0</v>
      </c>
      <c r="K107" s="1587"/>
      <c r="L107" s="1587">
        <f>ROUND(SUM(L100:L105),1)</f>
        <v>0</v>
      </c>
      <c r="M107" s="1587"/>
      <c r="N107" s="1587">
        <f>ROUND(SUM(N100:N105),1)</f>
        <v>0</v>
      </c>
      <c r="O107" s="1587"/>
      <c r="P107" s="2348">
        <f>ROUND(SUM(P100:P105),1)</f>
        <v>0</v>
      </c>
      <c r="Q107" s="2348"/>
      <c r="R107" s="2348">
        <f>ROUND(SUM(R100:R105),1)</f>
        <v>0</v>
      </c>
      <c r="S107" s="2348"/>
      <c r="T107" s="2348">
        <f>ROUND(SUM(T100:T105),1)</f>
        <v>0</v>
      </c>
      <c r="U107" s="2348"/>
      <c r="V107" s="2348">
        <f>ROUND(SUM(V100:V105),1)</f>
        <v>0</v>
      </c>
      <c r="W107" s="2348"/>
      <c r="X107" s="2348">
        <f>ROUND(SUM(X100:X105),1)</f>
        <v>0</v>
      </c>
      <c r="Y107" s="2348"/>
      <c r="Z107" s="2348">
        <f>ROUND(SUM(Z100:Z105),1)</f>
        <v>0</v>
      </c>
      <c r="AA107" s="2348"/>
      <c r="AB107" s="2348"/>
      <c r="AC107" s="3367"/>
      <c r="AD107" s="2348">
        <f>ROUND(SUM(AD100:AD105),1)</f>
        <v>1241.0999999999999</v>
      </c>
      <c r="AE107" s="2330"/>
      <c r="AF107" s="3328"/>
      <c r="AG107" s="3380">
        <f>ROUND(SUM(AG100:AG105),1)</f>
        <v>1593.6</v>
      </c>
      <c r="AH107" s="498"/>
      <c r="AI107" s="264"/>
      <c r="AJ107" s="262">
        <f>ROUND(SUM(AD107-AG107),1)</f>
        <v>-352.5</v>
      </c>
      <c r="AK107" s="400"/>
      <c r="AL107" s="2320">
        <f>ROUND(SUM((AD107-AG107)/ABS(AG107)),3)</f>
        <v>-0.221</v>
      </c>
      <c r="AM107" s="1349"/>
    </row>
    <row r="108" spans="1:39" ht="15" customHeight="1">
      <c r="A108" s="340"/>
      <c r="B108" s="218"/>
      <c r="C108" s="218"/>
      <c r="D108" s="1210"/>
      <c r="E108" s="2502"/>
      <c r="F108" s="1210"/>
      <c r="G108" s="2502"/>
      <c r="H108" s="1210"/>
      <c r="I108" s="2502"/>
      <c r="J108" s="1210"/>
      <c r="K108" s="254"/>
      <c r="L108" s="277"/>
      <c r="M108" s="254"/>
      <c r="N108" s="277"/>
      <c r="O108" s="254"/>
      <c r="P108" s="3321"/>
      <c r="Q108" s="3322"/>
      <c r="R108" s="3321"/>
      <c r="S108" s="3322"/>
      <c r="T108" s="3321"/>
      <c r="U108" s="3322"/>
      <c r="V108" s="3321"/>
      <c r="W108" s="3322"/>
      <c r="X108" s="3321"/>
      <c r="Y108" s="3322"/>
      <c r="Z108" s="3321"/>
      <c r="AA108" s="3323"/>
      <c r="AB108" s="3322"/>
      <c r="AC108" s="3361"/>
      <c r="AD108" s="3321"/>
      <c r="AE108" s="3323"/>
      <c r="AF108" s="3325"/>
      <c r="AG108" s="3381"/>
      <c r="AH108" s="491"/>
      <c r="AI108" s="243"/>
      <c r="AJ108" s="1042"/>
      <c r="AK108" s="1583"/>
      <c r="AL108" s="2316"/>
      <c r="AM108" s="1349"/>
    </row>
    <row r="109" spans="1:39" ht="15" customHeight="1">
      <c r="A109" s="340"/>
      <c r="B109" s="216" t="s">
        <v>159</v>
      </c>
      <c r="C109" s="218"/>
      <c r="D109" s="2502"/>
      <c r="E109" s="2502"/>
      <c r="F109" s="2502"/>
      <c r="G109" s="2502"/>
      <c r="H109" s="2502"/>
      <c r="I109" s="2502"/>
      <c r="J109" s="2502"/>
      <c r="K109" s="254"/>
      <c r="L109" s="254"/>
      <c r="M109" s="254"/>
      <c r="N109" s="254"/>
      <c r="O109" s="254"/>
      <c r="P109" s="3322"/>
      <c r="Q109" s="3322"/>
      <c r="R109" s="3322"/>
      <c r="S109" s="3322"/>
      <c r="T109" s="3322"/>
      <c r="U109" s="3322"/>
      <c r="V109" s="3322"/>
      <c r="W109" s="3322"/>
      <c r="X109" s="3322"/>
      <c r="Y109" s="3322"/>
      <c r="Z109" s="3322"/>
      <c r="AA109" s="3322"/>
      <c r="AB109" s="3322"/>
      <c r="AC109" s="3361"/>
      <c r="AD109" s="3322"/>
      <c r="AE109" s="3323"/>
      <c r="AF109" s="3325"/>
      <c r="AG109" s="3311"/>
      <c r="AH109" s="491"/>
      <c r="AI109" s="243"/>
      <c r="AJ109" s="1608"/>
      <c r="AK109" s="1583"/>
      <c r="AL109" s="2316"/>
      <c r="AM109" s="1349"/>
    </row>
    <row r="110" spans="1:39" ht="15" customHeight="1">
      <c r="A110" s="340"/>
      <c r="B110" s="216" t="s">
        <v>45</v>
      </c>
      <c r="C110" s="218"/>
      <c r="D110" s="1587">
        <f>ROUND(SUM(D86-D107),1)</f>
        <v>638.20000000000005</v>
      </c>
      <c r="E110" s="1587"/>
      <c r="F110" s="1587">
        <f>ROUND(SUM(F86-F107),1)</f>
        <v>0</v>
      </c>
      <c r="G110" s="1587"/>
      <c r="H110" s="1587">
        <f>ROUND(SUM(H86-H107),1)</f>
        <v>0</v>
      </c>
      <c r="I110" s="1587"/>
      <c r="J110" s="1587">
        <f>ROUND(SUM(J86-J107),1)</f>
        <v>0</v>
      </c>
      <c r="K110" s="1587"/>
      <c r="L110" s="1587">
        <f>ROUND(SUM(L86-L107),1)</f>
        <v>0</v>
      </c>
      <c r="M110" s="1587"/>
      <c r="N110" s="1587">
        <f>ROUND(SUM(N86-N107),1)</f>
        <v>0</v>
      </c>
      <c r="O110" s="1587"/>
      <c r="P110" s="2348">
        <f>ROUND(SUM(P86-P107),1)</f>
        <v>0</v>
      </c>
      <c r="Q110" s="2348"/>
      <c r="R110" s="2348">
        <f>ROUND(SUM(R86-R107),1)</f>
        <v>0</v>
      </c>
      <c r="S110" s="2348"/>
      <c r="T110" s="2348">
        <f>ROUND(SUM(T86-T107),1)</f>
        <v>0</v>
      </c>
      <c r="U110" s="2348"/>
      <c r="V110" s="2348">
        <f>ROUND(SUM(V86-V107),1)</f>
        <v>0</v>
      </c>
      <c r="W110" s="2348"/>
      <c r="X110" s="2348">
        <f>ROUND(SUM(X86-X107),1)</f>
        <v>0</v>
      </c>
      <c r="Y110" s="2348"/>
      <c r="Z110" s="2348">
        <f>ROUND(SUM(Z86-Z107),1)</f>
        <v>0</v>
      </c>
      <c r="AA110" s="2348"/>
      <c r="AB110" s="2348"/>
      <c r="AC110" s="3367"/>
      <c r="AD110" s="2348">
        <f>ROUND(SUM(AD86-AD107),1)</f>
        <v>638.20000000000005</v>
      </c>
      <c r="AE110" s="2330"/>
      <c r="AF110" s="3328"/>
      <c r="AG110" s="3380">
        <f>ROUND(SUM(AG86-AG107),1)</f>
        <v>87.1</v>
      </c>
      <c r="AH110" s="498"/>
      <c r="AI110" s="264"/>
      <c r="AJ110" s="262">
        <f>ROUND(SUM(AD110-AG110),1)</f>
        <v>551.1</v>
      </c>
      <c r="AK110" s="399"/>
      <c r="AL110" s="2636">
        <f>ROUND(IF(AG110=0,0,AJ110/ABS(AG110)),3)</f>
        <v>6.327</v>
      </c>
      <c r="AM110" s="1349"/>
    </row>
    <row r="111" spans="1:39" ht="15" customHeight="1">
      <c r="A111" s="340"/>
      <c r="B111" s="218"/>
      <c r="C111" s="218"/>
      <c r="D111" s="1210"/>
      <c r="E111" s="2502"/>
      <c r="F111" s="1210"/>
      <c r="G111" s="2502"/>
      <c r="H111" s="1210"/>
      <c r="I111" s="2502"/>
      <c r="J111" s="1210"/>
      <c r="K111" s="254"/>
      <c r="L111" s="277"/>
      <c r="M111" s="254"/>
      <c r="N111" s="277"/>
      <c r="O111" s="254"/>
      <c r="P111" s="3321"/>
      <c r="Q111" s="3322"/>
      <c r="R111" s="3321"/>
      <c r="S111" s="3322"/>
      <c r="T111" s="3321"/>
      <c r="U111" s="3322"/>
      <c r="V111" s="3321"/>
      <c r="W111" s="3322"/>
      <c r="X111" s="3321"/>
      <c r="Y111" s="3322"/>
      <c r="Z111" s="3321"/>
      <c r="AA111" s="3323"/>
      <c r="AB111" s="3322"/>
      <c r="AC111" s="3361"/>
      <c r="AD111" s="3321"/>
      <c r="AE111" s="3323"/>
      <c r="AF111" s="3325"/>
      <c r="AG111" s="3381"/>
      <c r="AH111" s="491"/>
      <c r="AI111" s="243"/>
      <c r="AJ111" s="1042"/>
      <c r="AK111" s="1583"/>
      <c r="AL111" s="2316"/>
      <c r="AM111" s="1349"/>
    </row>
    <row r="112" spans="1:39" ht="15" customHeight="1">
      <c r="A112" s="340"/>
      <c r="B112" s="216" t="s">
        <v>46</v>
      </c>
      <c r="C112" s="218"/>
      <c r="D112" s="2502"/>
      <c r="E112" s="2502"/>
      <c r="F112" s="2502"/>
      <c r="G112" s="2502"/>
      <c r="H112" s="2502"/>
      <c r="I112" s="2502"/>
      <c r="J112" s="2502"/>
      <c r="K112" s="254"/>
      <c r="L112" s="254"/>
      <c r="M112" s="254"/>
      <c r="N112" s="254"/>
      <c r="O112" s="254"/>
      <c r="P112" s="3322"/>
      <c r="Q112" s="3322"/>
      <c r="R112" s="3322"/>
      <c r="S112" s="3322"/>
      <c r="T112" s="3322"/>
      <c r="U112" s="3322"/>
      <c r="V112" s="3322"/>
      <c r="W112" s="3322"/>
      <c r="X112" s="3322"/>
      <c r="Y112" s="3322"/>
      <c r="Z112" s="3322"/>
      <c r="AA112" s="3322"/>
      <c r="AB112" s="3322"/>
      <c r="AC112" s="3361"/>
      <c r="AD112" s="3311"/>
      <c r="AE112" s="3323"/>
      <c r="AF112" s="3325"/>
      <c r="AG112" s="3311"/>
      <c r="AH112" s="491"/>
      <c r="AI112" s="243"/>
      <c r="AJ112" s="1042"/>
      <c r="AK112" s="1583"/>
      <c r="AL112" s="2316"/>
      <c r="AM112" s="1349"/>
    </row>
    <row r="113" spans="1:52" s="1536" customFormat="1" ht="15" customHeight="1">
      <c r="A113" s="1792"/>
      <c r="B113" s="296" t="s">
        <v>179</v>
      </c>
      <c r="C113" s="296"/>
      <c r="D113" s="1545">
        <f>$AD113</f>
        <v>381.9</v>
      </c>
      <c r="E113" s="2502"/>
      <c r="F113" s="1545"/>
      <c r="G113" s="2502"/>
      <c r="H113" s="1545"/>
      <c r="I113" s="2502"/>
      <c r="J113" s="1545"/>
      <c r="K113" s="2509"/>
      <c r="L113" s="2743"/>
      <c r="M113" s="2509"/>
      <c r="N113" s="2743"/>
      <c r="O113" s="2509"/>
      <c r="P113" s="2914"/>
      <c r="Q113" s="3314"/>
      <c r="R113" s="2914"/>
      <c r="S113" s="3314"/>
      <c r="T113" s="2914"/>
      <c r="U113" s="3314"/>
      <c r="V113" s="2914"/>
      <c r="W113" s="3314"/>
      <c r="X113" s="2914"/>
      <c r="Y113" s="3314"/>
      <c r="Z113" s="2914"/>
      <c r="AA113" s="3315"/>
      <c r="AB113" s="3316"/>
      <c r="AC113" s="3318"/>
      <c r="AD113" s="2914">
        <v>381.9</v>
      </c>
      <c r="AE113" s="3354"/>
      <c r="AF113" s="3355"/>
      <c r="AG113" s="2914">
        <v>1026</v>
      </c>
      <c r="AH113" s="1795"/>
      <c r="AI113" s="255"/>
      <c r="AJ113" s="1544">
        <f>ROUND(SUM(+AD113-AG113),1)</f>
        <v>-644.1</v>
      </c>
      <c r="AK113" s="1544"/>
      <c r="AL113" s="2972">
        <f>ROUND(IF(AG113=0,0,AJ113/ABS(AG113)),3)</f>
        <v>-0.628</v>
      </c>
      <c r="AM113" s="2973"/>
    </row>
    <row r="114" spans="1:52" s="1536" customFormat="1" ht="15" customHeight="1">
      <c r="A114" s="1792"/>
      <c r="B114" s="296" t="s">
        <v>177</v>
      </c>
      <c r="C114" s="296"/>
      <c r="D114" s="1545">
        <f>$AD114</f>
        <v>74.400000000000006</v>
      </c>
      <c r="E114" s="2502"/>
      <c r="F114" s="1545"/>
      <c r="G114" s="2502"/>
      <c r="H114" s="1545"/>
      <c r="I114" s="2502"/>
      <c r="J114" s="1545"/>
      <c r="K114" s="2509"/>
      <c r="L114" s="2743"/>
      <c r="M114" s="2509"/>
      <c r="N114" s="2743"/>
      <c r="O114" s="2509"/>
      <c r="P114" s="2914"/>
      <c r="Q114" s="3314"/>
      <c r="R114" s="2914"/>
      <c r="S114" s="3314"/>
      <c r="T114" s="2914"/>
      <c r="U114" s="3314"/>
      <c r="V114" s="2914"/>
      <c r="W114" s="3314"/>
      <c r="X114" s="2914"/>
      <c r="Y114" s="3314"/>
      <c r="Z114" s="2914">
        <v>0</v>
      </c>
      <c r="AA114" s="3315"/>
      <c r="AB114" s="3316"/>
      <c r="AC114" s="3318"/>
      <c r="AD114" s="2914">
        <v>74.400000000000006</v>
      </c>
      <c r="AE114" s="3354"/>
      <c r="AF114" s="3355"/>
      <c r="AG114" s="3292">
        <v>-40.5</v>
      </c>
      <c r="AH114" s="1795"/>
      <c r="AI114" s="255"/>
      <c r="AJ114" s="1740">
        <f>ROUND(SUM(+AD114-AG114)*-1,1)</f>
        <v>-114.9</v>
      </c>
      <c r="AK114" s="1740"/>
      <c r="AL114" s="3480">
        <f>ROUND(IF(AG114=0,0,AJ114/ABS(AG114)),3)</f>
        <v>-2.8370000000000002</v>
      </c>
      <c r="AM114" s="2973"/>
    </row>
    <row r="115" spans="1:52" ht="15" customHeight="1">
      <c r="A115" s="340"/>
      <c r="B115" s="218"/>
      <c r="C115" s="218"/>
      <c r="D115" s="277"/>
      <c r="E115" s="254"/>
      <c r="F115" s="277"/>
      <c r="G115" s="254"/>
      <c r="H115" s="277"/>
      <c r="I115" s="254"/>
      <c r="J115" s="277"/>
      <c r="K115" s="254"/>
      <c r="L115" s="277"/>
      <c r="M115" s="254"/>
      <c r="N115" s="277"/>
      <c r="O115" s="254"/>
      <c r="P115" s="277"/>
      <c r="Q115" s="254"/>
      <c r="R115" s="277"/>
      <c r="S115" s="254"/>
      <c r="T115" s="277"/>
      <c r="U115" s="254"/>
      <c r="V115" s="277"/>
      <c r="W115" s="254"/>
      <c r="X115" s="277"/>
      <c r="Y115" s="254"/>
      <c r="Z115" s="277"/>
      <c r="AA115" s="243"/>
      <c r="AB115" s="254"/>
      <c r="AC115" s="244"/>
      <c r="AD115" s="277"/>
      <c r="AE115" s="243"/>
      <c r="AF115" s="246"/>
      <c r="AG115" s="255"/>
      <c r="AH115" s="491"/>
      <c r="AI115" s="243"/>
      <c r="AJ115" s="2276"/>
      <c r="AK115" s="1583"/>
      <c r="AL115" s="2333"/>
      <c r="AM115" s="1349"/>
    </row>
    <row r="116" spans="1:52" ht="15" customHeight="1">
      <c r="A116" s="340"/>
      <c r="B116" s="216" t="s">
        <v>1306</v>
      </c>
      <c r="C116" s="218"/>
      <c r="D116" s="1587">
        <f>ROUND(SUM(D113:D115),1)</f>
        <v>456.3</v>
      </c>
      <c r="E116" s="1587"/>
      <c r="F116" s="1587">
        <f>ROUND(SUM(F113:F115),1)</f>
        <v>0</v>
      </c>
      <c r="G116" s="1587"/>
      <c r="H116" s="1587">
        <f>ROUND(SUM(H113:H115),1)</f>
        <v>0</v>
      </c>
      <c r="I116" s="1587"/>
      <c r="J116" s="1587">
        <f>ROUND(SUM(J113:J115),1)</f>
        <v>0</v>
      </c>
      <c r="K116" s="1587"/>
      <c r="L116" s="1587">
        <f>ROUND(SUM(L113:L115),1)</f>
        <v>0</v>
      </c>
      <c r="M116" s="1587"/>
      <c r="N116" s="1587">
        <f>ROUND(SUM(N113:N115),1)</f>
        <v>0</v>
      </c>
      <c r="O116" s="1587"/>
      <c r="P116" s="1587">
        <f>ROUND(SUM(P113:P115),1)</f>
        <v>0</v>
      </c>
      <c r="Q116" s="1587"/>
      <c r="R116" s="1587">
        <f>ROUND(SUM(R113:R115),1)</f>
        <v>0</v>
      </c>
      <c r="S116" s="1587"/>
      <c r="T116" s="1587">
        <f>ROUND(SUM(T113:T115),1)</f>
        <v>0</v>
      </c>
      <c r="U116" s="1587"/>
      <c r="V116" s="1587">
        <f>ROUND(SUM(V113:V115),1)</f>
        <v>0</v>
      </c>
      <c r="W116" s="1587"/>
      <c r="X116" s="1587">
        <f>ROUND(SUM(X113:X115),1)</f>
        <v>0</v>
      </c>
      <c r="Y116" s="1587"/>
      <c r="Z116" s="1587">
        <f>ROUND(SUM(Z113:Z115),1)</f>
        <v>0</v>
      </c>
      <c r="AA116" s="1587"/>
      <c r="AB116" s="1587"/>
      <c r="AC116" s="252"/>
      <c r="AD116" s="1587">
        <f>ROUND(SUM(AD113:AD115),1)</f>
        <v>456.3</v>
      </c>
      <c r="AE116" s="264"/>
      <c r="AF116" s="694"/>
      <c r="AG116" s="301">
        <f>ROUND(SUM(AG113:AG115),1)</f>
        <v>985.5</v>
      </c>
      <c r="AH116" s="498"/>
      <c r="AI116" s="264"/>
      <c r="AJ116" s="262">
        <f>ROUND(SUM(AD116-AG116),1)</f>
        <v>-529.20000000000005</v>
      </c>
      <c r="AK116" s="356"/>
      <c r="AL116" s="2320">
        <f>ROUND(SUM((AD116-AG116)/ABS(AG116)),3)</f>
        <v>-0.53700000000000003</v>
      </c>
      <c r="AM116" s="2235"/>
    </row>
    <row r="117" spans="1:52" ht="15" customHeight="1">
      <c r="A117" s="340"/>
      <c r="B117" s="218"/>
      <c r="C117" s="218"/>
      <c r="D117" s="277"/>
      <c r="E117" s="254"/>
      <c r="F117" s="277"/>
      <c r="G117" s="254"/>
      <c r="H117" s="277"/>
      <c r="I117" s="254"/>
      <c r="J117" s="277"/>
      <c r="K117" s="254"/>
      <c r="L117" s="277"/>
      <c r="M117" s="254"/>
      <c r="N117" s="277"/>
      <c r="O117" s="254"/>
      <c r="P117" s="277"/>
      <c r="Q117" s="254"/>
      <c r="R117" s="277"/>
      <c r="S117" s="254"/>
      <c r="T117" s="277"/>
      <c r="U117" s="254"/>
      <c r="V117" s="277"/>
      <c r="W117" s="254"/>
      <c r="X117" s="277"/>
      <c r="Y117" s="254"/>
      <c r="Z117" s="277"/>
      <c r="AA117" s="243"/>
      <c r="AB117" s="254"/>
      <c r="AC117" s="244"/>
      <c r="AD117" s="277"/>
      <c r="AE117" s="243"/>
      <c r="AF117" s="246"/>
      <c r="AG117" s="315"/>
      <c r="AH117" s="491"/>
      <c r="AI117" s="243"/>
      <c r="AJ117" s="1042"/>
      <c r="AK117" s="1583"/>
      <c r="AL117" s="2316"/>
      <c r="AM117" s="1349"/>
    </row>
    <row r="118" spans="1:52" ht="15" customHeight="1">
      <c r="A118" s="340"/>
      <c r="B118" s="216" t="s">
        <v>168</v>
      </c>
      <c r="C118" s="218"/>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44"/>
      <c r="AD118" s="254"/>
      <c r="AE118" s="243"/>
      <c r="AF118" s="246"/>
      <c r="AG118" s="307"/>
      <c r="AH118" s="491"/>
      <c r="AI118" s="243"/>
      <c r="AJ118" s="1042"/>
      <c r="AK118" s="1583"/>
      <c r="AL118" s="2316"/>
      <c r="AM118" s="1349"/>
    </row>
    <row r="119" spans="1:52" ht="15" customHeight="1">
      <c r="A119" s="340"/>
      <c r="B119" s="216" t="s">
        <v>1364</v>
      </c>
      <c r="C119" s="218"/>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44"/>
      <c r="AD119" s="254"/>
      <c r="AE119" s="243"/>
      <c r="AF119" s="246"/>
      <c r="AG119" s="328"/>
      <c r="AH119" s="491"/>
      <c r="AI119" s="243"/>
      <c r="AJ119" s="1042"/>
      <c r="AK119" s="1583"/>
      <c r="AL119" s="2316"/>
      <c r="AM119" s="1349"/>
    </row>
    <row r="120" spans="1:52" ht="15" customHeight="1">
      <c r="A120" s="340"/>
      <c r="B120" s="216" t="s">
        <v>1302</v>
      </c>
      <c r="C120" s="218"/>
      <c r="D120" s="1461">
        <f>ROUND(SUM(D110+D116),1)</f>
        <v>1094.5</v>
      </c>
      <c r="E120" s="2503"/>
      <c r="F120" s="1461">
        <f>ROUND(SUM(F110+F116),1)</f>
        <v>0</v>
      </c>
      <c r="G120" s="2503"/>
      <c r="H120" s="1461">
        <f>ROUND(SUM(H110+H116),1)</f>
        <v>0</v>
      </c>
      <c r="I120" s="2503"/>
      <c r="J120" s="1461">
        <f>ROUND(SUM(J110+J116),1)</f>
        <v>0</v>
      </c>
      <c r="K120" s="2503"/>
      <c r="L120" s="1461">
        <f>ROUND(SUM(L110+L116),1)</f>
        <v>0</v>
      </c>
      <c r="M120" s="2503"/>
      <c r="N120" s="1461">
        <f>ROUND(SUM(N110+N116),1)</f>
        <v>0</v>
      </c>
      <c r="O120" s="2503"/>
      <c r="P120" s="1461">
        <f>ROUND(SUM(P110+P116),1)</f>
        <v>0</v>
      </c>
      <c r="Q120" s="2503"/>
      <c r="R120" s="1461">
        <f>ROUND(SUM(R110+R116),1)</f>
        <v>0</v>
      </c>
      <c r="S120" s="2503"/>
      <c r="T120" s="1461">
        <f>ROUND(SUM(T110+T116),1)</f>
        <v>0</v>
      </c>
      <c r="U120" s="2503"/>
      <c r="V120" s="1461">
        <f>ROUND(SUM(V110+V116),1)</f>
        <v>0</v>
      </c>
      <c r="W120" s="2503"/>
      <c r="X120" s="1461">
        <f>ROUND(SUM(X110+X116),1)</f>
        <v>0</v>
      </c>
      <c r="Y120" s="2503"/>
      <c r="Z120" s="1461">
        <f>ROUND(SUM(Z110+Z116),1)</f>
        <v>0</v>
      </c>
      <c r="AA120" s="2503"/>
      <c r="AB120" s="3099"/>
      <c r="AC120" s="2503"/>
      <c r="AD120" s="1461">
        <f>ROUND(SUM(AD110+AD116),1)</f>
        <v>1094.5</v>
      </c>
      <c r="AE120" s="3100"/>
      <c r="AF120" s="2503"/>
      <c r="AG120" s="1856">
        <f>ROUND(SUM(AG110+AG116),1)</f>
        <v>1072.5999999999999</v>
      </c>
      <c r="AH120" s="491"/>
      <c r="AI120" s="2503"/>
      <c r="AJ120" s="1461">
        <f>ROUND(SUM(AJ110+AJ116),1)</f>
        <v>21.9</v>
      </c>
      <c r="AK120" s="2503"/>
      <c r="AL120" s="3098">
        <f>ROUND(IF(AG120=0,0,AJ120/ABS(AG120)),3)</f>
        <v>0.02</v>
      </c>
      <c r="AM120" s="1349"/>
    </row>
    <row r="121" spans="1:52" ht="15" customHeight="1">
      <c r="A121" s="340"/>
      <c r="B121" s="216"/>
      <c r="C121" s="218"/>
      <c r="D121" s="355"/>
      <c r="E121" s="355"/>
      <c r="F121" s="355"/>
      <c r="G121" s="355"/>
      <c r="H121" s="355"/>
      <c r="I121" s="355"/>
      <c r="J121" s="355"/>
      <c r="K121" s="355"/>
      <c r="L121" s="355"/>
      <c r="M121" s="355"/>
      <c r="N121" s="355"/>
      <c r="O121" s="355"/>
      <c r="P121" s="355"/>
      <c r="Q121" s="355"/>
      <c r="R121" s="355"/>
      <c r="S121" s="355"/>
      <c r="T121" s="410"/>
      <c r="U121" s="355"/>
      <c r="V121" s="355"/>
      <c r="W121" s="355"/>
      <c r="X121" s="355"/>
      <c r="Y121" s="355"/>
      <c r="Z121" s="355"/>
      <c r="AA121" s="355"/>
      <c r="AB121" s="355"/>
      <c r="AC121" s="3287"/>
      <c r="AD121" s="247"/>
      <c r="AE121" s="247"/>
      <c r="AF121" s="3287"/>
      <c r="AG121" s="306"/>
      <c r="AH121" s="247"/>
      <c r="AI121" s="486"/>
      <c r="AJ121" s="2278"/>
      <c r="AK121" s="2278"/>
      <c r="AL121" s="2334"/>
      <c r="AM121" s="1349"/>
    </row>
    <row r="122" spans="1:52" ht="15" customHeight="1" thickBot="1">
      <c r="A122" s="340"/>
      <c r="B122" s="216" t="s">
        <v>1312</v>
      </c>
      <c r="C122" s="218"/>
      <c r="D122" s="479">
        <f>ROUND(SUM(+D120+D13),1)</f>
        <v>5103</v>
      </c>
      <c r="E122" s="355"/>
      <c r="F122" s="479">
        <f>ROUND(SUM(+F120+F13),1)</f>
        <v>0</v>
      </c>
      <c r="G122" s="355"/>
      <c r="H122" s="479">
        <f>ROUND(SUM(+H120+H13),1)</f>
        <v>0</v>
      </c>
      <c r="I122" s="355"/>
      <c r="J122" s="479">
        <f>ROUND(SUM(+J120+J13),1)</f>
        <v>0</v>
      </c>
      <c r="K122" s="355"/>
      <c r="L122" s="479">
        <f>ROUND(SUM(+L120+L13),1)</f>
        <v>0</v>
      </c>
      <c r="M122" s="355"/>
      <c r="N122" s="479">
        <f>ROUND(SUM(+N120+N13),1)</f>
        <v>0</v>
      </c>
      <c r="O122" s="355"/>
      <c r="P122" s="479">
        <f>ROUND(SUM(+P120+P13),1)</f>
        <v>0</v>
      </c>
      <c r="Q122" s="355"/>
      <c r="R122" s="479">
        <f>ROUND(SUM(+R120+R13),1)</f>
        <v>0</v>
      </c>
      <c r="S122" s="355"/>
      <c r="T122" s="479">
        <f>ROUND(SUM(+T120+T13),1)</f>
        <v>0</v>
      </c>
      <c r="U122" s="355"/>
      <c r="V122" s="479">
        <f>ROUND(SUM(+V120+V13),1)</f>
        <v>0</v>
      </c>
      <c r="W122" s="355"/>
      <c r="X122" s="479">
        <f>ROUND(SUM(+X120+X13),1)</f>
        <v>0</v>
      </c>
      <c r="Y122" s="355"/>
      <c r="Z122" s="479">
        <f>ROUND(SUM(+Z120+Z13),1)</f>
        <v>0</v>
      </c>
      <c r="AA122" s="355"/>
      <c r="AB122" s="355"/>
      <c r="AC122" s="3287"/>
      <c r="AD122" s="479">
        <f>ROUND(SUM(+AD120+AD13),1)</f>
        <v>5103</v>
      </c>
      <c r="AE122" s="247"/>
      <c r="AF122" s="3287"/>
      <c r="AG122" s="468">
        <f>ROUND(SUM(+AG120+AG13),1)</f>
        <v>4804.8999999999996</v>
      </c>
      <c r="AH122" s="247"/>
      <c r="AI122" s="486"/>
      <c r="AJ122" s="479">
        <f>ROUND(SUM(+AJ120+AJ13),1)</f>
        <v>298.10000000000002</v>
      </c>
      <c r="AK122" s="2278"/>
      <c r="AL122" s="3096">
        <f>ROUND(IF(AG122=0,0,AJ122/ABS(AG122)),3)</f>
        <v>6.2E-2</v>
      </c>
      <c r="AM122" s="1349"/>
    </row>
    <row r="123" spans="1:52" ht="15" customHeight="1" thickTop="1">
      <c r="A123" s="340"/>
      <c r="B123" s="216"/>
      <c r="C123" s="218"/>
      <c r="D123" s="355"/>
      <c r="E123" s="355"/>
      <c r="F123" s="355"/>
      <c r="G123" s="355"/>
      <c r="H123" s="355"/>
      <c r="I123" s="355"/>
      <c r="J123" s="355"/>
      <c r="K123" s="355"/>
      <c r="L123" s="355"/>
      <c r="M123" s="355"/>
      <c r="N123" s="355"/>
      <c r="O123" s="355"/>
      <c r="P123" s="410"/>
      <c r="Q123" s="355"/>
      <c r="R123" s="355"/>
      <c r="S123" s="355"/>
      <c r="T123" s="355"/>
      <c r="U123" s="355"/>
      <c r="V123" s="355"/>
      <c r="W123" s="355"/>
      <c r="X123" s="355"/>
      <c r="Y123" s="355"/>
      <c r="Z123" s="355"/>
      <c r="AA123" s="355"/>
      <c r="AB123" s="355"/>
      <c r="AC123" s="247"/>
      <c r="AD123" s="247"/>
      <c r="AE123" s="247"/>
      <c r="AF123" s="247"/>
      <c r="AG123" s="306"/>
      <c r="AH123" s="247"/>
      <c r="AI123" s="224"/>
      <c r="AJ123" s="2278"/>
      <c r="AK123" s="2278"/>
      <c r="AL123" s="2334"/>
      <c r="AM123" s="1349"/>
    </row>
    <row r="124" spans="1:52" ht="15" customHeight="1">
      <c r="A124" s="340"/>
      <c r="B124" s="216"/>
      <c r="C124" s="218"/>
      <c r="D124" s="355"/>
      <c r="E124" s="355"/>
      <c r="F124" s="355"/>
      <c r="G124" s="355"/>
      <c r="H124" s="355"/>
      <c r="I124" s="355"/>
      <c r="J124" s="355"/>
      <c r="K124" s="355"/>
      <c r="L124" s="355"/>
      <c r="M124" s="355"/>
      <c r="N124" s="355"/>
      <c r="O124" s="355"/>
      <c r="P124" s="247"/>
      <c r="Q124" s="355"/>
      <c r="R124" s="355"/>
      <c r="S124" s="355"/>
      <c r="T124" s="355"/>
      <c r="U124" s="355"/>
      <c r="V124" s="355"/>
      <c r="W124" s="355"/>
      <c r="X124" s="355"/>
      <c r="Y124" s="355"/>
      <c r="Z124" s="355"/>
      <c r="AA124" s="355"/>
      <c r="AB124" s="355"/>
      <c r="AC124" s="247"/>
      <c r="AD124" s="247"/>
      <c r="AE124" s="247"/>
      <c r="AF124" s="247"/>
      <c r="AG124" s="306"/>
      <c r="AH124" s="247"/>
      <c r="AI124" s="224"/>
      <c r="AJ124" s="2278"/>
      <c r="AK124" s="2278"/>
      <c r="AL124" s="2334"/>
      <c r="AM124" s="1349"/>
    </row>
    <row r="125" spans="1:52" ht="15" customHeight="1">
      <c r="B125" s="1583"/>
      <c r="C125" s="217"/>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482"/>
      <c r="AF125" s="482"/>
      <c r="AG125" s="3473"/>
      <c r="AH125" s="482"/>
      <c r="AI125" s="482"/>
      <c r="AJ125" s="2277"/>
      <c r="AK125" s="2277"/>
      <c r="AL125" s="2316"/>
      <c r="AM125" s="1349"/>
      <c r="AN125" s="518"/>
      <c r="AO125" s="518"/>
      <c r="AP125" s="518"/>
      <c r="AQ125" s="518"/>
      <c r="AR125" s="518"/>
      <c r="AS125" s="518"/>
      <c r="AT125" s="518"/>
      <c r="AU125" s="518"/>
      <c r="AV125" s="518"/>
      <c r="AW125" s="518"/>
      <c r="AX125" s="518"/>
      <c r="AY125" s="518"/>
      <c r="AZ125" s="518"/>
    </row>
    <row r="126" spans="1:52" ht="15" customHeight="1">
      <c r="B126" s="217"/>
      <c r="AL126" s="2336"/>
      <c r="AM126" s="1349"/>
    </row>
    <row r="127" spans="1:52" ht="15" customHeight="1">
      <c r="B127" s="217"/>
      <c r="AL127" s="2336"/>
      <c r="AM127" s="1349"/>
    </row>
    <row r="128" spans="1:52">
      <c r="AL128" s="2336"/>
      <c r="AM128" s="1349"/>
    </row>
    <row r="129" spans="4:39" ht="15" customHeight="1">
      <c r="AL129" s="2336"/>
      <c r="AM129" s="1349"/>
    </row>
    <row r="130" spans="4:39" ht="15" customHeight="1">
      <c r="D130" s="1583"/>
      <c r="F130" s="1583"/>
      <c r="H130" s="1583"/>
      <c r="AJ130" s="3097"/>
      <c r="AL130" s="2336"/>
      <c r="AM130" s="1349"/>
    </row>
    <row r="131" spans="4:39" ht="15" customHeight="1">
      <c r="AL131" s="1349"/>
      <c r="AM131" s="1349"/>
    </row>
    <row r="132" spans="4:39" ht="15" customHeight="1">
      <c r="AL132" s="1349"/>
      <c r="AM132" s="1349"/>
    </row>
    <row r="133" spans="4:39" ht="15" customHeight="1">
      <c r="AL133" s="1349"/>
      <c r="AM133" s="1349"/>
    </row>
    <row r="134" spans="4:39" ht="15" customHeight="1">
      <c r="AL134" s="1349"/>
      <c r="AM134" s="1349"/>
    </row>
    <row r="135" spans="4:39" ht="15" customHeight="1">
      <c r="AL135" s="1349"/>
      <c r="AM135" s="1349"/>
    </row>
    <row r="136" spans="4:39" ht="15" customHeight="1">
      <c r="AL136" s="1349"/>
      <c r="AM136" s="1349"/>
    </row>
    <row r="137" spans="4:39" ht="15" customHeight="1">
      <c r="AL137" s="1349"/>
      <c r="AM137" s="1349"/>
    </row>
    <row r="138" spans="4:39" ht="15" customHeight="1">
      <c r="AL138" s="1349"/>
      <c r="AM138" s="1349"/>
    </row>
    <row r="139" spans="4:39" ht="15" customHeight="1">
      <c r="AL139" s="1349"/>
      <c r="AM139" s="1349"/>
    </row>
    <row r="140" spans="4:39" ht="15" customHeight="1">
      <c r="AL140" s="1349"/>
      <c r="AM140" s="1349"/>
    </row>
    <row r="141" spans="4:39" ht="15" customHeight="1">
      <c r="AL141" s="1349"/>
      <c r="AM141" s="1349"/>
    </row>
    <row r="142" spans="4:39" ht="15" customHeight="1">
      <c r="AL142" s="1349"/>
      <c r="AM142" s="1349"/>
    </row>
    <row r="143" spans="4:39" ht="15" customHeight="1">
      <c r="AL143" s="1349"/>
      <c r="AM143" s="1349"/>
    </row>
    <row r="144" spans="4:39" ht="15" customHeight="1">
      <c r="AL144" s="1349"/>
      <c r="AM144" s="1349"/>
    </row>
    <row r="145" spans="38:39" ht="15" customHeight="1">
      <c r="AL145" s="1349"/>
      <c r="AM145" s="1349"/>
    </row>
    <row r="146" spans="38:39" ht="15" customHeight="1">
      <c r="AL146" s="1349"/>
      <c r="AM146" s="1349"/>
    </row>
    <row r="147" spans="38:39" ht="15" customHeight="1">
      <c r="AL147" s="1349"/>
      <c r="AM147" s="1349"/>
    </row>
    <row r="148" spans="38:39" ht="15" customHeight="1">
      <c r="AL148" s="1349"/>
      <c r="AM148" s="1349"/>
    </row>
    <row r="149" spans="38:39" ht="15" customHeight="1">
      <c r="AL149" s="1349"/>
      <c r="AM149" s="1349"/>
    </row>
    <row r="150" spans="38:39" ht="15" customHeight="1">
      <c r="AL150" s="1349"/>
      <c r="AM150" s="1349"/>
    </row>
    <row r="151" spans="38:39" ht="15" customHeight="1">
      <c r="AL151" s="1349"/>
      <c r="AM151" s="1349"/>
    </row>
    <row r="152" spans="38:39" ht="15" customHeight="1">
      <c r="AL152" s="1349"/>
      <c r="AM152" s="1349"/>
    </row>
    <row r="153" spans="38:39" ht="15" customHeight="1">
      <c r="AL153" s="1349"/>
      <c r="AM153" s="1349"/>
    </row>
    <row r="154" spans="38:39" ht="15" customHeight="1">
      <c r="AL154" s="1349"/>
      <c r="AM154" s="1349"/>
    </row>
    <row r="155" spans="38:39" ht="15" customHeight="1">
      <c r="AL155" s="1349"/>
      <c r="AM155" s="1349"/>
    </row>
    <row r="156" spans="38:39" ht="15" customHeight="1">
      <c r="AL156" s="1349"/>
      <c r="AM156" s="1349"/>
    </row>
    <row r="157" spans="38:39" ht="11.25" customHeight="1">
      <c r="AL157" s="1349"/>
      <c r="AM157" s="1349"/>
    </row>
    <row r="158" spans="38:39" ht="15" customHeight="1">
      <c r="AL158" s="1349"/>
      <c r="AM158" s="1349"/>
    </row>
    <row r="159" spans="38:39" ht="15" customHeight="1">
      <c r="AL159" s="1349"/>
      <c r="AM159" s="1349"/>
    </row>
    <row r="160" spans="38:3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C9:AL9"/>
  </mergeCells>
  <pageMargins left="0.25" right="0.25" top="0.5" bottom="0.25" header="0" footer="0.25"/>
  <pageSetup scale="39" firstPageNumber="24" orientation="landscape" useFirstPageNumber="1" r:id="rId2"/>
  <headerFooter scaleWithDoc="0" alignWithMargins="0">
    <oddFooter>&amp;C&amp;8&amp;P</oddFooter>
  </headerFooter>
  <rowBreaks count="1" manualBreakCount="1">
    <brk id="80" min="1" max="37" man="1"/>
  </rowBreaks>
  <ignoredErrors>
    <ignoredError sqref="AL45 AL50 AL39 AL41:AL43 AL24:AL25 AL20:AL22 AL27:AL36" unlockedFormula="1"/>
    <ignoredError sqref="AL82" evalError="1"/>
    <ignoredError sqref="AL75:AL77 AL23 AL54:AL57 AL59:AL62 AL64:AL69 AL71:AL72 AL26" formula="1"/>
    <ignoredError sqref="AL70 AL63 AL58" formula="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140"/>
  <sheetViews>
    <sheetView showGridLines="0" zoomScale="70" zoomScaleNormal="70" workbookViewId="0"/>
  </sheetViews>
  <sheetFormatPr defaultColWidth="8.88671875" defaultRowHeight="12.75"/>
  <cols>
    <col min="1" max="1" width="1.6640625" style="439" customWidth="1"/>
    <col min="2" max="2" width="44.88671875" style="439" customWidth="1"/>
    <col min="3" max="3" width="1.6640625" style="439" customWidth="1"/>
    <col min="4" max="4" width="15.109375" style="439" bestFit="1" customWidth="1"/>
    <col min="5" max="5" width="1.6640625" style="439" customWidth="1"/>
    <col min="6" max="6" width="12" style="439" customWidth="1"/>
    <col min="7" max="7" width="1.6640625" style="439" customWidth="1"/>
    <col min="8" max="8" width="11.109375" style="439" bestFit="1" customWidth="1"/>
    <col min="9" max="9" width="1.6640625" style="439" customWidth="1"/>
    <col min="10" max="10" width="11" style="439" customWidth="1"/>
    <col min="11" max="11" width="1.6640625" style="439" customWidth="1"/>
    <col min="12" max="12" width="11.33203125" style="439" customWidth="1"/>
    <col min="13" max="13" width="1.6640625" style="439" customWidth="1"/>
    <col min="14" max="14" width="12.21875" style="439" customWidth="1"/>
    <col min="15" max="15" width="1.6640625" style="439" customWidth="1"/>
    <col min="16" max="16" width="11" style="439" bestFit="1" customWidth="1"/>
    <col min="17" max="17" width="1.6640625" style="439" customWidth="1"/>
    <col min="18" max="18" width="11.5546875" style="439" bestFit="1" customWidth="1"/>
    <col min="19" max="19" width="1.6640625" style="439" customWidth="1"/>
    <col min="20" max="20" width="11.44140625" style="439" customWidth="1"/>
    <col min="21" max="21" width="1.6640625" style="439" customWidth="1"/>
    <col min="22" max="22" width="11.21875" style="439" customWidth="1"/>
    <col min="23" max="23" width="1.6640625" style="439" customWidth="1"/>
    <col min="24" max="24" width="11.109375" style="439" bestFit="1" customWidth="1"/>
    <col min="25" max="25" width="1.6640625" style="439" customWidth="1"/>
    <col min="26" max="26" width="10.109375" style="439" customWidth="1"/>
    <col min="27" max="27" width="1" style="439" customWidth="1"/>
    <col min="28" max="29" width="1.6640625" style="439" customWidth="1"/>
    <col min="30" max="30" width="12.21875" style="439" customWidth="1"/>
    <col min="31" max="32" width="1.33203125" style="439" customWidth="1"/>
    <col min="33" max="33" width="11.77734375" style="439" customWidth="1"/>
    <col min="34" max="34" width="1.44140625" style="439" customWidth="1"/>
    <col min="35" max="35" width="0.77734375" style="439" customWidth="1"/>
    <col min="36" max="36" width="13.109375" style="439" bestFit="1" customWidth="1"/>
    <col min="37" max="37" width="0.6640625" style="439" customWidth="1"/>
    <col min="38" max="38" width="13.6640625" style="1349" bestFit="1" customWidth="1"/>
    <col min="39" max="16384" width="8.88671875" style="439"/>
  </cols>
  <sheetData>
    <row r="1" spans="1:41" ht="15">
      <c r="B1" s="1052" t="s">
        <v>1064</v>
      </c>
    </row>
    <row r="2" spans="1:41" ht="15.75">
      <c r="A2" s="438"/>
      <c r="M2" s="216"/>
      <c r="N2" s="216"/>
      <c r="O2" s="477"/>
    </row>
    <row r="3" spans="1:41" ht="18">
      <c r="A3" s="438"/>
      <c r="B3" s="443" t="s">
        <v>0</v>
      </c>
      <c r="M3" s="216"/>
      <c r="N3" s="216"/>
      <c r="O3" s="477"/>
      <c r="AF3" s="509"/>
      <c r="AG3" s="509"/>
      <c r="AH3" s="509"/>
      <c r="AI3" s="509"/>
      <c r="AJ3" s="509"/>
      <c r="AK3" s="509"/>
      <c r="AL3" s="446" t="s">
        <v>171</v>
      </c>
    </row>
    <row r="4" spans="1:41" ht="18">
      <c r="A4" s="438"/>
      <c r="B4" s="443" t="s">
        <v>180</v>
      </c>
      <c r="L4" s="216"/>
      <c r="M4" s="216"/>
      <c r="O4" s="477"/>
    </row>
    <row r="5" spans="1:41" ht="18">
      <c r="A5" s="438"/>
      <c r="B5" s="2505" t="s">
        <v>150</v>
      </c>
      <c r="L5" s="477"/>
      <c r="M5" s="477"/>
      <c r="O5" s="477"/>
      <c r="X5" s="510"/>
    </row>
    <row r="6" spans="1:41" ht="20.25">
      <c r="A6" s="438"/>
      <c r="B6" s="2505" t="str">
        <f>'Cashflow Governmental'!A6</f>
        <v>FISCAL YEAR 2018-2019</v>
      </c>
      <c r="L6" s="477"/>
      <c r="M6" s="477"/>
      <c r="O6" s="477"/>
      <c r="AL6" s="1350"/>
    </row>
    <row r="7" spans="1:41" ht="18">
      <c r="A7" s="438"/>
      <c r="B7" s="443" t="s">
        <v>1292</v>
      </c>
      <c r="AI7" s="340"/>
      <c r="AJ7" s="340"/>
      <c r="AK7" s="340"/>
      <c r="AL7" s="1351"/>
    </row>
    <row r="8" spans="1:41" ht="13.5" customHeight="1">
      <c r="A8" s="438"/>
      <c r="B8" s="519"/>
      <c r="AI8" s="340"/>
      <c r="AJ8" s="340"/>
      <c r="AK8" s="340"/>
      <c r="AL8" s="1351"/>
    </row>
    <row r="9" spans="1:41" ht="15.75">
      <c r="A9" s="438"/>
      <c r="L9" s="477"/>
      <c r="M9" s="477"/>
      <c r="N9" s="477"/>
      <c r="O9" s="477"/>
      <c r="AC9" s="3749" t="s">
        <v>1466</v>
      </c>
      <c r="AD9" s="3749"/>
      <c r="AE9" s="3749"/>
      <c r="AF9" s="3749"/>
      <c r="AG9" s="3749"/>
      <c r="AH9" s="3749"/>
      <c r="AI9" s="3749"/>
      <c r="AJ9" s="3749"/>
      <c r="AK9" s="3749"/>
      <c r="AL9" s="3749"/>
    </row>
    <row r="10" spans="1:41" ht="15.75">
      <c r="A10" s="438"/>
      <c r="B10" s="217"/>
      <c r="C10" s="217"/>
      <c r="D10" s="1293" t="str">
        <f>'Cashflow Governmental'!C13</f>
        <v>2018</v>
      </c>
      <c r="E10" s="216"/>
      <c r="F10" s="216"/>
      <c r="G10" s="216"/>
      <c r="H10" s="216"/>
      <c r="I10" s="216"/>
      <c r="J10" s="216"/>
      <c r="K10" s="216"/>
      <c r="L10" s="216"/>
      <c r="M10" s="216"/>
      <c r="N10" s="216"/>
      <c r="O10" s="216"/>
      <c r="P10" s="216"/>
      <c r="Q10" s="216"/>
      <c r="R10" s="216"/>
      <c r="S10" s="216"/>
      <c r="T10" s="216"/>
      <c r="U10" s="216"/>
      <c r="V10" s="1293" t="str">
        <f>'Cashflow Governmental'!U13</f>
        <v>2019</v>
      </c>
      <c r="W10" s="216"/>
      <c r="X10" s="216"/>
      <c r="Y10" s="216"/>
      <c r="Z10" s="216"/>
      <c r="AA10" s="216"/>
      <c r="AB10" s="216"/>
      <c r="AC10" s="216"/>
      <c r="AD10" s="400"/>
      <c r="AE10" s="400"/>
      <c r="AF10" s="400"/>
      <c r="AG10" s="400"/>
      <c r="AH10" s="400"/>
      <c r="AI10" s="399"/>
      <c r="AJ10" s="1299" t="s">
        <v>8</v>
      </c>
      <c r="AK10" s="1299"/>
      <c r="AL10" s="1352" t="s">
        <v>9</v>
      </c>
      <c r="AM10" s="1304"/>
      <c r="AN10" s="1304"/>
      <c r="AO10" s="1304"/>
    </row>
    <row r="11" spans="1:41" ht="15.75">
      <c r="A11" s="438"/>
      <c r="B11" s="217"/>
      <c r="C11" s="217"/>
      <c r="D11" s="1279" t="s">
        <v>126</v>
      </c>
      <c r="E11" s="216"/>
      <c r="F11" s="1279" t="s">
        <v>127</v>
      </c>
      <c r="G11" s="216"/>
      <c r="H11" s="1279" t="s">
        <v>128</v>
      </c>
      <c r="I11" s="216"/>
      <c r="J11" s="1279" t="s">
        <v>129</v>
      </c>
      <c r="K11" s="216"/>
      <c r="L11" s="1279" t="s">
        <v>130</v>
      </c>
      <c r="M11" s="216"/>
      <c r="N11" s="1279" t="s">
        <v>145</v>
      </c>
      <c r="O11" s="216"/>
      <c r="P11" s="1279" t="s">
        <v>146</v>
      </c>
      <c r="Q11" s="216"/>
      <c r="R11" s="1279" t="s">
        <v>133</v>
      </c>
      <c r="S11" s="216"/>
      <c r="T11" s="1279" t="s">
        <v>134</v>
      </c>
      <c r="U11" s="216"/>
      <c r="V11" s="1279" t="s">
        <v>135</v>
      </c>
      <c r="W11" s="216"/>
      <c r="X11" s="1279" t="s">
        <v>136</v>
      </c>
      <c r="Y11" s="216"/>
      <c r="Z11" s="1279" t="s">
        <v>188</v>
      </c>
      <c r="AA11" s="1279"/>
      <c r="AB11" s="216"/>
      <c r="AC11" s="216"/>
      <c r="AD11" s="1293" t="str">
        <f>'Cashflow Governmental'!AB14</f>
        <v>2018</v>
      </c>
      <c r="AE11" s="1293"/>
      <c r="AF11" s="216" t="s">
        <v>15</v>
      </c>
      <c r="AG11" s="1293" t="str">
        <f>'Cashflow Governmental'!AE14</f>
        <v>2017</v>
      </c>
      <c r="AH11" s="1278"/>
      <c r="AI11" s="399"/>
      <c r="AJ11" s="1306" t="s">
        <v>12</v>
      </c>
      <c r="AK11" s="1297"/>
      <c r="AL11" s="1353" t="s">
        <v>13</v>
      </c>
      <c r="AM11" s="1304"/>
      <c r="AN11" s="1304"/>
      <c r="AO11" s="1304"/>
    </row>
    <row r="12" spans="1:41" ht="6.75" customHeight="1">
      <c r="A12" s="438"/>
      <c r="B12" s="217"/>
      <c r="C12" s="217"/>
      <c r="D12" s="230"/>
      <c r="E12" s="217"/>
      <c r="F12" s="230"/>
      <c r="G12" s="217"/>
      <c r="H12" s="230"/>
      <c r="I12" s="217"/>
      <c r="J12" s="230"/>
      <c r="K12" s="217"/>
      <c r="L12" s="230"/>
      <c r="M12" s="217"/>
      <c r="N12" s="485"/>
      <c r="O12" s="217"/>
      <c r="P12" s="230"/>
      <c r="Q12" s="217"/>
      <c r="R12" s="230"/>
      <c r="S12" s="217"/>
      <c r="T12" s="230"/>
      <c r="U12" s="217"/>
      <c r="V12" s="230"/>
      <c r="W12" s="217"/>
      <c r="X12" s="230"/>
      <c r="Y12" s="217"/>
      <c r="Z12" s="230"/>
      <c r="AA12" s="224"/>
      <c r="AB12" s="217"/>
      <c r="AC12" s="1778"/>
      <c r="AD12" s="230"/>
      <c r="AE12" s="230"/>
      <c r="AF12" s="1778"/>
      <c r="AG12" s="230"/>
      <c r="AH12" s="224"/>
      <c r="AI12" s="486"/>
      <c r="AJ12" s="217"/>
      <c r="AK12" s="217"/>
      <c r="AL12" s="475"/>
    </row>
    <row r="13" spans="1:41" ht="15.75">
      <c r="A13" s="438"/>
      <c r="B13" s="3078" t="s">
        <v>1397</v>
      </c>
      <c r="C13" s="217"/>
      <c r="D13" s="543">
        <v>293.60000000000002</v>
      </c>
      <c r="E13" s="217"/>
      <c r="F13" s="410"/>
      <c r="G13" s="217"/>
      <c r="H13" s="410"/>
      <c r="I13" s="217"/>
      <c r="J13" s="410"/>
      <c r="K13" s="217"/>
      <c r="L13" s="410"/>
      <c r="M13" s="217"/>
      <c r="N13" s="410"/>
      <c r="O13" s="217"/>
      <c r="P13" s="410"/>
      <c r="Q13" s="217"/>
      <c r="R13" s="410"/>
      <c r="S13" s="217"/>
      <c r="T13" s="410"/>
      <c r="U13" s="217"/>
      <c r="V13" s="410"/>
      <c r="W13" s="217"/>
      <c r="X13" s="410"/>
      <c r="Y13" s="217"/>
      <c r="Z13" s="410"/>
      <c r="AA13" s="224"/>
      <c r="AB13" s="217"/>
      <c r="AC13" s="1778"/>
      <c r="AD13" s="410">
        <f>D13</f>
        <v>293.60000000000002</v>
      </c>
      <c r="AE13" s="224"/>
      <c r="AF13" s="1778"/>
      <c r="AG13" s="410">
        <v>539.9</v>
      </c>
      <c r="AH13" s="224"/>
      <c r="AI13" s="486"/>
      <c r="AJ13" s="283">
        <f>+AD13-AG13</f>
        <v>-246.29999999999995</v>
      </c>
      <c r="AK13" s="217"/>
      <c r="AL13" s="489">
        <f>+AJ13/AG13</f>
        <v>-0.45619559177625479</v>
      </c>
    </row>
    <row r="14" spans="1:41" ht="15.75">
      <c r="A14" s="438"/>
      <c r="B14" s="3078"/>
      <c r="C14" s="217"/>
      <c r="D14" s="224"/>
      <c r="E14" s="217"/>
      <c r="F14" s="224"/>
      <c r="G14" s="217"/>
      <c r="H14" s="224"/>
      <c r="I14" s="217"/>
      <c r="J14" s="224"/>
      <c r="K14" s="217"/>
      <c r="L14" s="224"/>
      <c r="M14" s="217"/>
      <c r="N14" s="1777"/>
      <c r="O14" s="217"/>
      <c r="P14" s="224"/>
      <c r="Q14" s="217"/>
      <c r="R14" s="224"/>
      <c r="S14" s="217"/>
      <c r="T14" s="224"/>
      <c r="U14" s="217"/>
      <c r="V14" s="224"/>
      <c r="W14" s="217"/>
      <c r="X14" s="224"/>
      <c r="Y14" s="217"/>
      <c r="Z14" s="224"/>
      <c r="AA14" s="224"/>
      <c r="AB14" s="3102"/>
      <c r="AC14" s="224"/>
      <c r="AD14" s="224"/>
      <c r="AE14" s="224"/>
      <c r="AF14" s="1778"/>
      <c r="AG14" s="224"/>
      <c r="AH14" s="490"/>
      <c r="AI14" s="224"/>
      <c r="AJ14" s="217"/>
      <c r="AK14" s="217"/>
      <c r="AL14" s="475"/>
    </row>
    <row r="15" spans="1:41" ht="15" customHeight="1">
      <c r="A15" s="340"/>
      <c r="B15" s="216" t="s">
        <v>14</v>
      </c>
      <c r="C15" s="218"/>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402"/>
      <c r="AD15" s="217"/>
      <c r="AE15" s="217"/>
      <c r="AF15" s="512"/>
      <c r="AG15" s="217"/>
      <c r="AH15" s="515"/>
      <c r="AI15" s="224"/>
      <c r="AJ15" s="513"/>
      <c r="AK15" s="513"/>
      <c r="AL15" s="521"/>
    </row>
    <row r="16" spans="1:41" ht="7.5" customHeight="1">
      <c r="A16" s="340"/>
      <c r="B16" s="218"/>
      <c r="C16" s="218"/>
      <c r="D16" s="360"/>
      <c r="E16" s="355"/>
      <c r="F16" s="360"/>
      <c r="G16" s="355"/>
      <c r="H16" s="360"/>
      <c r="I16" s="355"/>
      <c r="J16" s="360"/>
      <c r="K16" s="355"/>
      <c r="L16" s="360"/>
      <c r="M16" s="355"/>
      <c r="N16" s="360"/>
      <c r="O16" s="355"/>
      <c r="P16" s="360"/>
      <c r="Q16" s="355"/>
      <c r="R16" s="360"/>
      <c r="S16" s="355"/>
      <c r="T16" s="360"/>
      <c r="U16" s="355"/>
      <c r="V16" s="360"/>
      <c r="W16" s="254"/>
      <c r="X16" s="360"/>
      <c r="Y16" s="254"/>
      <c r="Z16" s="360"/>
      <c r="AA16" s="360"/>
      <c r="AB16" s="355"/>
      <c r="AC16" s="455"/>
      <c r="AD16" s="254"/>
      <c r="AE16" s="462"/>
      <c r="AF16" s="514"/>
      <c r="AG16" s="360"/>
      <c r="AH16" s="515"/>
      <c r="AI16" s="224"/>
      <c r="AJ16" s="1608"/>
      <c r="AK16" s="1042"/>
      <c r="AL16" s="1565"/>
    </row>
    <row r="17" spans="1:39" ht="15" customHeight="1">
      <c r="A17" s="340"/>
      <c r="B17" s="467" t="s">
        <v>1128</v>
      </c>
      <c r="C17" s="218"/>
      <c r="D17" s="265"/>
      <c r="E17" s="355"/>
      <c r="F17" s="360"/>
      <c r="G17" s="355"/>
      <c r="H17" s="329"/>
      <c r="I17" s="355"/>
      <c r="J17" s="329"/>
      <c r="K17" s="355"/>
      <c r="L17" s="329"/>
      <c r="M17" s="355"/>
      <c r="N17" s="329"/>
      <c r="O17" s="355"/>
      <c r="P17" s="520"/>
      <c r="Q17" s="355"/>
      <c r="R17" s="359"/>
      <c r="S17" s="355"/>
      <c r="T17" s="360"/>
      <c r="U17" s="355"/>
      <c r="V17" s="265"/>
      <c r="W17" s="254"/>
      <c r="X17" s="265"/>
      <c r="Y17" s="254"/>
      <c r="Z17" s="265"/>
      <c r="AA17" s="265"/>
      <c r="AB17" s="355"/>
      <c r="AC17" s="455"/>
      <c r="AD17" s="254"/>
      <c r="AE17" s="254"/>
      <c r="AF17" s="246"/>
      <c r="AG17" s="254"/>
      <c r="AH17" s="491"/>
      <c r="AI17" s="243"/>
      <c r="AJ17" s="1608"/>
      <c r="AK17" s="1608"/>
      <c r="AL17" s="1130"/>
    </row>
    <row r="18" spans="1:39" ht="15" customHeight="1">
      <c r="A18" s="340"/>
      <c r="B18" s="1541" t="s">
        <v>1253</v>
      </c>
      <c r="C18" s="218"/>
      <c r="D18" s="265"/>
      <c r="E18" s="355"/>
      <c r="F18" s="360"/>
      <c r="G18" s="355"/>
      <c r="H18" s="329"/>
      <c r="I18" s="355"/>
      <c r="J18" s="329"/>
      <c r="K18" s="355"/>
      <c r="L18" s="329"/>
      <c r="M18" s="355"/>
      <c r="N18" s="329"/>
      <c r="O18" s="355"/>
      <c r="P18" s="520"/>
      <c r="Q18" s="355"/>
      <c r="R18" s="359"/>
      <c r="S18" s="355"/>
      <c r="T18" s="360"/>
      <c r="U18" s="355"/>
      <c r="V18" s="265"/>
      <c r="W18" s="254"/>
      <c r="X18" s="265"/>
      <c r="Y18" s="254"/>
      <c r="Z18" s="265"/>
      <c r="AA18" s="265"/>
      <c r="AB18" s="355"/>
      <c r="AC18" s="455"/>
      <c r="AD18" s="254"/>
      <c r="AE18" s="254"/>
      <c r="AF18" s="246"/>
      <c r="AG18" s="254"/>
      <c r="AH18" s="491"/>
      <c r="AI18" s="243"/>
      <c r="AJ18" s="1608"/>
      <c r="AK18" s="1608"/>
      <c r="AL18" s="1130"/>
    </row>
    <row r="19" spans="1:39" ht="15" customHeight="1">
      <c r="A19" s="340"/>
      <c r="B19" s="1541" t="s">
        <v>1161</v>
      </c>
      <c r="C19" s="218"/>
      <c r="D19" s="1206">
        <f>$AD19</f>
        <v>0</v>
      </c>
      <c r="E19" s="1543"/>
      <c r="F19" s="1894"/>
      <c r="G19" s="1544"/>
      <c r="H19" s="1544"/>
      <c r="I19" s="1544"/>
      <c r="J19" s="1544"/>
      <c r="K19" s="2509"/>
      <c r="L19" s="2743"/>
      <c r="M19" s="2509"/>
      <c r="N19" s="2743"/>
      <c r="O19" s="2932"/>
      <c r="P19" s="2914"/>
      <c r="Q19" s="3302"/>
      <c r="R19" s="2914"/>
      <c r="S19" s="3302"/>
      <c r="T19" s="2914"/>
      <c r="U19" s="3302"/>
      <c r="V19" s="2914"/>
      <c r="W19" s="3302"/>
      <c r="X19" s="2914"/>
      <c r="Y19" s="3302"/>
      <c r="Z19" s="2914"/>
      <c r="AA19" s="3303"/>
      <c r="AB19" s="3059"/>
      <c r="AC19" s="3304"/>
      <c r="AD19" s="2914">
        <v>0</v>
      </c>
      <c r="AE19" s="2329"/>
      <c r="AF19" s="3305"/>
      <c r="AG19" s="2914">
        <v>0</v>
      </c>
      <c r="AH19" s="2242"/>
      <c r="AI19" s="1608"/>
      <c r="AJ19" s="1544">
        <f>ROUND(SUM(+AD19-AG19),1)</f>
        <v>0</v>
      </c>
      <c r="AK19" s="1608"/>
      <c r="AL19" s="2324">
        <f>ROUND(IF(AG19=0,0,AJ19/ABS(AG19)),3)</f>
        <v>0</v>
      </c>
    </row>
    <row r="20" spans="1:39" s="1536" customFormat="1" ht="15" customHeight="1">
      <c r="A20" s="1792"/>
      <c r="B20" s="1541" t="s">
        <v>1254</v>
      </c>
      <c r="C20" s="296"/>
      <c r="D20" s="1206" t="s">
        <v>15</v>
      </c>
      <c r="E20" s="1438"/>
      <c r="F20" s="1894"/>
      <c r="G20" s="1438"/>
      <c r="H20" s="1544"/>
      <c r="I20" s="1438"/>
      <c r="J20" s="1544"/>
      <c r="K20" s="329"/>
      <c r="L20" s="2743"/>
      <c r="M20" s="329"/>
      <c r="N20" s="2743"/>
      <c r="O20" s="329"/>
      <c r="P20" s="2914"/>
      <c r="Q20" s="3307"/>
      <c r="R20" s="2914"/>
      <c r="S20" s="3307"/>
      <c r="T20" s="2914"/>
      <c r="U20" s="3307"/>
      <c r="V20" s="2914"/>
      <c r="W20" s="3311"/>
      <c r="X20" s="2914"/>
      <c r="Y20" s="3311"/>
      <c r="Z20" s="2914"/>
      <c r="AA20" s="3310"/>
      <c r="AB20" s="3307"/>
      <c r="AC20" s="3312"/>
      <c r="AD20" s="3311"/>
      <c r="AE20" s="3311"/>
      <c r="AF20" s="3313"/>
      <c r="AG20" s="3311"/>
      <c r="AH20" s="1795"/>
      <c r="AI20" s="255"/>
      <c r="AJ20" s="1740"/>
      <c r="AK20" s="1740"/>
      <c r="AL20" s="2335"/>
    </row>
    <row r="21" spans="1:39" s="1536" customFormat="1" ht="15" customHeight="1">
      <c r="A21" s="1792"/>
      <c r="B21" s="1541" t="s">
        <v>1163</v>
      </c>
      <c r="C21" s="296"/>
      <c r="D21" s="1206">
        <f t="shared" ref="D21:D51" si="0">$AD21</f>
        <v>4.2</v>
      </c>
      <c r="E21" s="1438"/>
      <c r="F21" s="1894"/>
      <c r="G21" s="1438"/>
      <c r="H21" s="1544"/>
      <c r="I21" s="1438"/>
      <c r="J21" s="1544"/>
      <c r="K21" s="2509"/>
      <c r="L21" s="2743"/>
      <c r="M21" s="2509"/>
      <c r="N21" s="2743"/>
      <c r="O21" s="2509"/>
      <c r="P21" s="2914"/>
      <c r="Q21" s="3314"/>
      <c r="R21" s="2914"/>
      <c r="S21" s="3314"/>
      <c r="T21" s="2914"/>
      <c r="U21" s="3314"/>
      <c r="V21" s="2914"/>
      <c r="W21" s="3314"/>
      <c r="X21" s="2914"/>
      <c r="Y21" s="3314"/>
      <c r="Z21" s="2914"/>
      <c r="AA21" s="3315"/>
      <c r="AB21" s="3316"/>
      <c r="AC21" s="3317"/>
      <c r="AD21" s="2914">
        <v>4.2</v>
      </c>
      <c r="AE21" s="3316"/>
      <c r="AF21" s="3318"/>
      <c r="AG21" s="2914">
        <v>3.7</v>
      </c>
      <c r="AH21" s="1795"/>
      <c r="AI21" s="255"/>
      <c r="AJ21" s="1740">
        <f t="shared" ref="AJ21:AJ51" si="1">ROUND(SUM(+AD21-AG21),1)</f>
        <v>0.5</v>
      </c>
      <c r="AK21" s="1740"/>
      <c r="AL21" s="2843">
        <f>ROUND(IF(AG21=0,0,AJ21/ABS(AG21)),3)</f>
        <v>0.13500000000000001</v>
      </c>
      <c r="AM21" s="2951"/>
    </row>
    <row r="22" spans="1:39" ht="15" customHeight="1">
      <c r="A22" s="340"/>
      <c r="B22" s="1541" t="s">
        <v>1164</v>
      </c>
      <c r="C22" s="218"/>
      <c r="D22" s="1206">
        <f t="shared" si="0"/>
        <v>0</v>
      </c>
      <c r="E22" s="1438"/>
      <c r="F22" s="1894"/>
      <c r="G22" s="1438"/>
      <c r="H22" s="1544"/>
      <c r="I22" s="1438"/>
      <c r="J22" s="1544"/>
      <c r="K22" s="2509"/>
      <c r="L22" s="2743"/>
      <c r="M22" s="2509"/>
      <c r="N22" s="2743"/>
      <c r="O22" s="2509"/>
      <c r="P22" s="2914"/>
      <c r="Q22" s="3314"/>
      <c r="R22" s="2914"/>
      <c r="S22" s="3314"/>
      <c r="T22" s="2914"/>
      <c r="U22" s="3314"/>
      <c r="V22" s="2914"/>
      <c r="W22" s="3314"/>
      <c r="X22" s="2914"/>
      <c r="Y22" s="3314"/>
      <c r="Z22" s="2914"/>
      <c r="AA22" s="3315"/>
      <c r="AB22" s="3316"/>
      <c r="AC22" s="3317"/>
      <c r="AD22" s="2914">
        <v>0</v>
      </c>
      <c r="AE22" s="3316"/>
      <c r="AF22" s="3318"/>
      <c r="AG22" s="2914">
        <v>0</v>
      </c>
      <c r="AH22" s="491"/>
      <c r="AI22" s="243"/>
      <c r="AJ22" s="1608">
        <f t="shared" si="1"/>
        <v>0</v>
      </c>
      <c r="AK22" s="1608"/>
      <c r="AL22" s="2324">
        <f>ROUND(IF(AG22=0,0,AJ22/ABS(AG22)),3)</f>
        <v>0</v>
      </c>
    </row>
    <row r="23" spans="1:39" ht="15" customHeight="1">
      <c r="A23" s="340"/>
      <c r="B23" s="1541" t="s">
        <v>1165</v>
      </c>
      <c r="C23" s="218"/>
      <c r="D23" s="1206">
        <f t="shared" si="0"/>
        <v>0</v>
      </c>
      <c r="E23" s="1438"/>
      <c r="F23" s="1894"/>
      <c r="G23" s="1438"/>
      <c r="H23" s="1544"/>
      <c r="I23" s="1438"/>
      <c r="J23" s="1544"/>
      <c r="K23" s="2509"/>
      <c r="L23" s="2743"/>
      <c r="M23" s="2509"/>
      <c r="N23" s="2743"/>
      <c r="O23" s="2509"/>
      <c r="P23" s="2914"/>
      <c r="Q23" s="3314"/>
      <c r="R23" s="2914"/>
      <c r="S23" s="3314"/>
      <c r="T23" s="2914"/>
      <c r="U23" s="3314"/>
      <c r="V23" s="2914"/>
      <c r="W23" s="3314"/>
      <c r="X23" s="2914"/>
      <c r="Y23" s="3314"/>
      <c r="Z23" s="2914"/>
      <c r="AA23" s="3315"/>
      <c r="AB23" s="3316"/>
      <c r="AC23" s="3317"/>
      <c r="AD23" s="2914">
        <v>0</v>
      </c>
      <c r="AE23" s="3316"/>
      <c r="AF23" s="3318"/>
      <c r="AG23" s="2914">
        <v>0</v>
      </c>
      <c r="AH23" s="491"/>
      <c r="AI23" s="243"/>
      <c r="AJ23" s="1608">
        <f t="shared" si="1"/>
        <v>0</v>
      </c>
      <c r="AK23" s="1608"/>
      <c r="AL23" s="2324">
        <f>ROUND(IF(AG23=0,0,AJ23/ABS(AG23)),3)</f>
        <v>0</v>
      </c>
    </row>
    <row r="24" spans="1:39" ht="15" customHeight="1">
      <c r="A24" s="340"/>
      <c r="B24" s="1541" t="s">
        <v>1166</v>
      </c>
      <c r="C24" s="218"/>
      <c r="D24" s="1206">
        <f t="shared" si="0"/>
        <v>0</v>
      </c>
      <c r="E24" s="1438"/>
      <c r="F24" s="1894"/>
      <c r="G24" s="1438"/>
      <c r="H24" s="1544"/>
      <c r="I24" s="1438"/>
      <c r="J24" s="1544"/>
      <c r="K24" s="2509"/>
      <c r="L24" s="2743"/>
      <c r="M24" s="2509"/>
      <c r="N24" s="2743"/>
      <c r="O24" s="2509"/>
      <c r="P24" s="2914"/>
      <c r="Q24" s="3314"/>
      <c r="R24" s="2914"/>
      <c r="S24" s="3314"/>
      <c r="T24" s="2914"/>
      <c r="U24" s="3314"/>
      <c r="V24" s="2914"/>
      <c r="W24" s="3314"/>
      <c r="X24" s="2914"/>
      <c r="Y24" s="3314"/>
      <c r="Z24" s="2914"/>
      <c r="AA24" s="3315"/>
      <c r="AB24" s="3316"/>
      <c r="AC24" s="3317"/>
      <c r="AD24" s="2914">
        <v>0</v>
      </c>
      <c r="AE24" s="3316"/>
      <c r="AF24" s="3318"/>
      <c r="AG24" s="2914">
        <v>0</v>
      </c>
      <c r="AH24" s="491"/>
      <c r="AI24" s="243"/>
      <c r="AJ24" s="1608">
        <f t="shared" si="1"/>
        <v>0</v>
      </c>
      <c r="AK24" s="1608"/>
      <c r="AL24" s="2324">
        <f>ROUND(IF(AG24=0,0,AJ24/ABS(AG24)),3)</f>
        <v>0</v>
      </c>
    </row>
    <row r="25" spans="1:39" ht="15" customHeight="1">
      <c r="A25" s="340"/>
      <c r="B25" s="1541" t="s">
        <v>1259</v>
      </c>
      <c r="C25" s="218"/>
      <c r="D25" s="1206" t="s">
        <v>15</v>
      </c>
      <c r="E25" s="1438"/>
      <c r="F25" s="1894"/>
      <c r="G25" s="1438"/>
      <c r="H25" s="1544"/>
      <c r="I25" s="1438"/>
      <c r="J25" s="1544"/>
      <c r="K25" s="329"/>
      <c r="L25" s="2743"/>
      <c r="M25" s="329"/>
      <c r="N25" s="2743"/>
      <c r="O25" s="329"/>
      <c r="P25" s="2914"/>
      <c r="Q25" s="3307"/>
      <c r="R25" s="2914"/>
      <c r="S25" s="3307"/>
      <c r="T25" s="2914"/>
      <c r="U25" s="3307"/>
      <c r="V25" s="2914"/>
      <c r="W25" s="3311"/>
      <c r="X25" s="2914"/>
      <c r="Y25" s="3311"/>
      <c r="Z25" s="2914"/>
      <c r="AA25" s="3310"/>
      <c r="AB25" s="3307"/>
      <c r="AC25" s="3312"/>
      <c r="AD25" s="3311"/>
      <c r="AE25" s="3311"/>
      <c r="AF25" s="3313"/>
      <c r="AG25" s="3311"/>
      <c r="AH25" s="491"/>
      <c r="AI25" s="243"/>
      <c r="AJ25" s="1608"/>
      <c r="AK25" s="1608"/>
      <c r="AL25" s="2324"/>
    </row>
    <row r="26" spans="1:39" ht="15" customHeight="1">
      <c r="A26" s="340"/>
      <c r="B26" s="1541" t="s">
        <v>1167</v>
      </c>
      <c r="C26" s="218"/>
      <c r="D26" s="1206">
        <f t="shared" si="0"/>
        <v>0</v>
      </c>
      <c r="E26" s="1438"/>
      <c r="F26" s="1894"/>
      <c r="G26" s="1438"/>
      <c r="H26" s="1544"/>
      <c r="I26" s="1438"/>
      <c r="J26" s="1544"/>
      <c r="K26" s="2509"/>
      <c r="L26" s="2743"/>
      <c r="M26" s="2509"/>
      <c r="N26" s="2743"/>
      <c r="O26" s="2509"/>
      <c r="P26" s="2914"/>
      <c r="Q26" s="3314"/>
      <c r="R26" s="2914"/>
      <c r="S26" s="3314"/>
      <c r="T26" s="2914"/>
      <c r="U26" s="3314"/>
      <c r="V26" s="2914"/>
      <c r="W26" s="3314"/>
      <c r="X26" s="2914"/>
      <c r="Y26" s="3314"/>
      <c r="Z26" s="2914"/>
      <c r="AA26" s="3315"/>
      <c r="AB26" s="3316"/>
      <c r="AC26" s="3317"/>
      <c r="AD26" s="2914">
        <v>0</v>
      </c>
      <c r="AE26" s="3316"/>
      <c r="AF26" s="3318"/>
      <c r="AG26" s="2914">
        <v>0</v>
      </c>
      <c r="AH26" s="491"/>
      <c r="AI26" s="243"/>
      <c r="AJ26" s="1608">
        <f t="shared" si="1"/>
        <v>0</v>
      </c>
      <c r="AK26" s="1608"/>
      <c r="AL26" s="2324">
        <f t="shared" ref="AL26:AL31" si="2">ROUND(IF(AG26=0,0,AJ26/ABS(AG26)),3)</f>
        <v>0</v>
      </c>
    </row>
    <row r="27" spans="1:39" ht="15" customHeight="1">
      <c r="A27" s="340"/>
      <c r="B27" s="1541" t="s">
        <v>1168</v>
      </c>
      <c r="C27" s="218"/>
      <c r="D27" s="1206">
        <f t="shared" si="0"/>
        <v>0</v>
      </c>
      <c r="E27" s="1438"/>
      <c r="F27" s="1894"/>
      <c r="G27" s="1438"/>
      <c r="H27" s="1544"/>
      <c r="I27" s="1438"/>
      <c r="J27" s="1544"/>
      <c r="K27" s="2509"/>
      <c r="L27" s="2743"/>
      <c r="M27" s="2509"/>
      <c r="N27" s="2743"/>
      <c r="O27" s="2509"/>
      <c r="P27" s="2914"/>
      <c r="Q27" s="3314"/>
      <c r="R27" s="2914"/>
      <c r="S27" s="3314"/>
      <c r="T27" s="2914"/>
      <c r="U27" s="3314"/>
      <c r="V27" s="2914"/>
      <c r="W27" s="3314"/>
      <c r="X27" s="2914"/>
      <c r="Y27" s="3314"/>
      <c r="Z27" s="2914"/>
      <c r="AA27" s="3315"/>
      <c r="AB27" s="3316"/>
      <c r="AC27" s="3317"/>
      <c r="AD27" s="2914">
        <v>0</v>
      </c>
      <c r="AE27" s="3316"/>
      <c r="AF27" s="3318"/>
      <c r="AG27" s="2914">
        <v>0</v>
      </c>
      <c r="AH27" s="491"/>
      <c r="AI27" s="243"/>
      <c r="AJ27" s="1608">
        <f t="shared" si="1"/>
        <v>0</v>
      </c>
      <c r="AK27" s="1608"/>
      <c r="AL27" s="2324">
        <f t="shared" si="2"/>
        <v>0</v>
      </c>
    </row>
    <row r="28" spans="1:39" ht="15" customHeight="1">
      <c r="A28" s="340"/>
      <c r="B28" s="1541" t="s">
        <v>1169</v>
      </c>
      <c r="C28" s="218"/>
      <c r="D28" s="1206">
        <f t="shared" si="0"/>
        <v>0</v>
      </c>
      <c r="E28" s="1438"/>
      <c r="F28" s="1894"/>
      <c r="G28" s="1438"/>
      <c r="H28" s="1544"/>
      <c r="I28" s="1438"/>
      <c r="J28" s="1544"/>
      <c r="K28" s="2509"/>
      <c r="L28" s="2743"/>
      <c r="M28" s="2509"/>
      <c r="N28" s="2743"/>
      <c r="O28" s="2509"/>
      <c r="P28" s="2914"/>
      <c r="Q28" s="3314"/>
      <c r="R28" s="2914"/>
      <c r="S28" s="3314"/>
      <c r="T28" s="2914"/>
      <c r="U28" s="3314"/>
      <c r="V28" s="2914"/>
      <c r="W28" s="3314"/>
      <c r="X28" s="2914"/>
      <c r="Y28" s="3314"/>
      <c r="Z28" s="2914"/>
      <c r="AA28" s="3315"/>
      <c r="AB28" s="3316"/>
      <c r="AC28" s="3317"/>
      <c r="AD28" s="2914">
        <v>0</v>
      </c>
      <c r="AE28" s="3316"/>
      <c r="AF28" s="3318"/>
      <c r="AG28" s="2914">
        <v>0</v>
      </c>
      <c r="AH28" s="491"/>
      <c r="AI28" s="243"/>
      <c r="AJ28" s="1608">
        <f t="shared" si="1"/>
        <v>0</v>
      </c>
      <c r="AK28" s="1608"/>
      <c r="AL28" s="2324">
        <f t="shared" si="2"/>
        <v>0</v>
      </c>
    </row>
    <row r="29" spans="1:39" ht="15" customHeight="1">
      <c r="A29" s="340"/>
      <c r="B29" s="1541" t="s">
        <v>1170</v>
      </c>
      <c r="C29" s="218"/>
      <c r="D29" s="1206">
        <f t="shared" si="0"/>
        <v>0</v>
      </c>
      <c r="E29" s="1438"/>
      <c r="F29" s="1894"/>
      <c r="G29" s="1438"/>
      <c r="H29" s="1544"/>
      <c r="I29" s="1438"/>
      <c r="J29" s="1544"/>
      <c r="K29" s="2509"/>
      <c r="L29" s="2743"/>
      <c r="M29" s="2509"/>
      <c r="N29" s="2743"/>
      <c r="O29" s="2509"/>
      <c r="P29" s="2914"/>
      <c r="Q29" s="3314"/>
      <c r="R29" s="2914"/>
      <c r="S29" s="3314"/>
      <c r="T29" s="2914"/>
      <c r="U29" s="3314"/>
      <c r="V29" s="2914"/>
      <c r="W29" s="3314"/>
      <c r="X29" s="2914"/>
      <c r="Y29" s="3314"/>
      <c r="Z29" s="2914"/>
      <c r="AA29" s="3315"/>
      <c r="AB29" s="3316"/>
      <c r="AC29" s="3317"/>
      <c r="AD29" s="2914">
        <v>0</v>
      </c>
      <c r="AE29" s="3316"/>
      <c r="AF29" s="3318"/>
      <c r="AG29" s="2914">
        <v>0</v>
      </c>
      <c r="AH29" s="491"/>
      <c r="AI29" s="243"/>
      <c r="AJ29" s="1608">
        <f t="shared" si="1"/>
        <v>0</v>
      </c>
      <c r="AK29" s="1608"/>
      <c r="AL29" s="2324">
        <f t="shared" si="2"/>
        <v>0</v>
      </c>
    </row>
    <row r="30" spans="1:39" ht="15" customHeight="1">
      <c r="A30" s="340"/>
      <c r="B30" s="1541" t="s">
        <v>1171</v>
      </c>
      <c r="C30" s="218"/>
      <c r="D30" s="1206">
        <f t="shared" si="0"/>
        <v>0</v>
      </c>
      <c r="E30" s="1438"/>
      <c r="F30" s="1894"/>
      <c r="G30" s="1438"/>
      <c r="H30" s="1544"/>
      <c r="I30" s="1438"/>
      <c r="J30" s="1544"/>
      <c r="K30" s="2509"/>
      <c r="L30" s="2743"/>
      <c r="M30" s="2509"/>
      <c r="N30" s="2743"/>
      <c r="O30" s="2509"/>
      <c r="P30" s="2914"/>
      <c r="Q30" s="3314"/>
      <c r="R30" s="2914"/>
      <c r="S30" s="3314"/>
      <c r="T30" s="2914"/>
      <c r="U30" s="3314"/>
      <c r="V30" s="2914"/>
      <c r="W30" s="3314"/>
      <c r="X30" s="2914"/>
      <c r="Y30" s="3314"/>
      <c r="Z30" s="2914"/>
      <c r="AA30" s="3315"/>
      <c r="AB30" s="3316"/>
      <c r="AC30" s="3317"/>
      <c r="AD30" s="2914">
        <v>0</v>
      </c>
      <c r="AE30" s="3316"/>
      <c r="AF30" s="3318"/>
      <c r="AG30" s="2914">
        <v>0</v>
      </c>
      <c r="AH30" s="491"/>
      <c r="AI30" s="243"/>
      <c r="AJ30" s="1608">
        <f t="shared" si="1"/>
        <v>0</v>
      </c>
      <c r="AK30" s="1608"/>
      <c r="AL30" s="2324">
        <f t="shared" si="2"/>
        <v>0</v>
      </c>
    </row>
    <row r="31" spans="1:39" ht="15" customHeight="1">
      <c r="A31" s="340"/>
      <c r="B31" s="1541" t="s">
        <v>1129</v>
      </c>
      <c r="C31" s="218"/>
      <c r="D31" s="1206">
        <f t="shared" si="0"/>
        <v>1.2000000000000002</v>
      </c>
      <c r="E31" s="1438"/>
      <c r="F31" s="1894"/>
      <c r="G31" s="1438"/>
      <c r="H31" s="1544"/>
      <c r="I31" s="1438"/>
      <c r="J31" s="1544"/>
      <c r="K31" s="2509"/>
      <c r="L31" s="2743"/>
      <c r="M31" s="2509"/>
      <c r="N31" s="2743"/>
      <c r="O31" s="2509"/>
      <c r="P31" s="2914"/>
      <c r="Q31" s="3314"/>
      <c r="R31" s="2914"/>
      <c r="S31" s="3314"/>
      <c r="T31" s="2914"/>
      <c r="U31" s="3314"/>
      <c r="V31" s="2914"/>
      <c r="W31" s="3314"/>
      <c r="X31" s="2914"/>
      <c r="Y31" s="3314"/>
      <c r="Z31" s="2914"/>
      <c r="AA31" s="3315"/>
      <c r="AB31" s="3316"/>
      <c r="AC31" s="3317"/>
      <c r="AD31" s="2914">
        <v>1.2000000000000002</v>
      </c>
      <c r="AE31" s="3316"/>
      <c r="AF31" s="3318"/>
      <c r="AG31" s="2914">
        <v>0.79999999999999993</v>
      </c>
      <c r="AH31" s="491"/>
      <c r="AI31" s="243"/>
      <c r="AJ31" s="1608">
        <f>ROUND(SUM(+AD31-AG31),1)</f>
        <v>0.4</v>
      </c>
      <c r="AK31" s="1608"/>
      <c r="AL31" s="2324">
        <f t="shared" si="2"/>
        <v>0.5</v>
      </c>
    </row>
    <row r="32" spans="1:39" s="1536" customFormat="1" ht="15" customHeight="1">
      <c r="A32" s="1792"/>
      <c r="B32" s="1541" t="s">
        <v>1130</v>
      </c>
      <c r="C32" s="296"/>
      <c r="D32" s="1206">
        <f t="shared" si="0"/>
        <v>0.4</v>
      </c>
      <c r="E32" s="1438"/>
      <c r="F32" s="1894"/>
      <c r="G32" s="1438"/>
      <c r="H32" s="1544"/>
      <c r="I32" s="1438"/>
      <c r="J32" s="1544"/>
      <c r="K32" s="2509"/>
      <c r="L32" s="2743"/>
      <c r="M32" s="2509"/>
      <c r="N32" s="2743"/>
      <c r="O32" s="2509"/>
      <c r="P32" s="2914"/>
      <c r="Q32" s="3314"/>
      <c r="R32" s="2914"/>
      <c r="S32" s="3314"/>
      <c r="T32" s="2914"/>
      <c r="U32" s="3314"/>
      <c r="V32" s="2914"/>
      <c r="W32" s="3314"/>
      <c r="X32" s="2914"/>
      <c r="Y32" s="3314"/>
      <c r="Z32" s="2914"/>
      <c r="AA32" s="3315"/>
      <c r="AB32" s="3316"/>
      <c r="AC32" s="3317"/>
      <c r="AD32" s="2914">
        <v>0.4</v>
      </c>
      <c r="AE32" s="3316"/>
      <c r="AF32" s="3318"/>
      <c r="AG32" s="2914">
        <v>0.4</v>
      </c>
      <c r="AH32" s="1795"/>
      <c r="AI32" s="255"/>
      <c r="AJ32" s="1740">
        <f t="shared" si="1"/>
        <v>0</v>
      </c>
      <c r="AK32" s="1740"/>
      <c r="AL32" s="2843">
        <f>ROUND(IF(AG32=0,1,AJ32/ABS(AG32)),3)</f>
        <v>0</v>
      </c>
    </row>
    <row r="33" spans="1:38" s="1536" customFormat="1" ht="15" customHeight="1">
      <c r="A33" s="1792"/>
      <c r="B33" s="1541" t="s">
        <v>1257</v>
      </c>
      <c r="C33" s="296"/>
      <c r="D33" s="1206" t="s">
        <v>15</v>
      </c>
      <c r="E33" s="1438"/>
      <c r="F33" s="1894"/>
      <c r="G33" s="1438"/>
      <c r="H33" s="1544"/>
      <c r="I33" s="1438"/>
      <c r="J33" s="1544"/>
      <c r="K33" s="329"/>
      <c r="L33" s="2743"/>
      <c r="M33" s="329"/>
      <c r="N33" s="2743"/>
      <c r="O33" s="329"/>
      <c r="P33" s="2914"/>
      <c r="Q33" s="3307"/>
      <c r="R33" s="2914"/>
      <c r="S33" s="3307"/>
      <c r="T33" s="2914"/>
      <c r="U33" s="3307"/>
      <c r="V33" s="2914"/>
      <c r="W33" s="3311"/>
      <c r="X33" s="2914"/>
      <c r="Y33" s="3311"/>
      <c r="Z33" s="2914"/>
      <c r="AA33" s="3310"/>
      <c r="AB33" s="3307"/>
      <c r="AC33" s="3312"/>
      <c r="AD33" s="3311"/>
      <c r="AE33" s="3311"/>
      <c r="AF33" s="3313"/>
      <c r="AG33" s="3311"/>
      <c r="AH33" s="1795"/>
      <c r="AI33" s="255"/>
      <c r="AJ33" s="1740"/>
      <c r="AK33" s="1740"/>
      <c r="AL33" s="2335"/>
    </row>
    <row r="34" spans="1:38" s="1536" customFormat="1" ht="15" customHeight="1">
      <c r="A34" s="1792"/>
      <c r="B34" s="1541" t="s">
        <v>1175</v>
      </c>
      <c r="C34" s="296"/>
      <c r="D34" s="1206">
        <f t="shared" si="0"/>
        <v>0</v>
      </c>
      <c r="E34" s="1438"/>
      <c r="F34" s="1894"/>
      <c r="G34" s="1438"/>
      <c r="H34" s="1544"/>
      <c r="I34" s="1438"/>
      <c r="J34" s="1544"/>
      <c r="K34" s="2509"/>
      <c r="L34" s="2743"/>
      <c r="M34" s="2509"/>
      <c r="N34" s="2743"/>
      <c r="O34" s="2509"/>
      <c r="P34" s="2914"/>
      <c r="Q34" s="3314"/>
      <c r="R34" s="2914"/>
      <c r="S34" s="3314"/>
      <c r="T34" s="2914"/>
      <c r="U34" s="3314"/>
      <c r="V34" s="2914"/>
      <c r="W34" s="3314"/>
      <c r="X34" s="2914"/>
      <c r="Y34" s="3314"/>
      <c r="Z34" s="2914"/>
      <c r="AA34" s="3315"/>
      <c r="AB34" s="3316"/>
      <c r="AC34" s="3317"/>
      <c r="AD34" s="2914">
        <v>0</v>
      </c>
      <c r="AE34" s="3316"/>
      <c r="AF34" s="3318"/>
      <c r="AG34" s="2914">
        <v>0</v>
      </c>
      <c r="AH34" s="1795"/>
      <c r="AI34" s="255"/>
      <c r="AJ34" s="1740">
        <f t="shared" si="1"/>
        <v>0</v>
      </c>
      <c r="AK34" s="1740"/>
      <c r="AL34" s="2843">
        <f t="shared" ref="AL34:AL39" si="3">ROUND(IF(AG34=0,0,AJ34/ABS(AG34)),3)</f>
        <v>0</v>
      </c>
    </row>
    <row r="35" spans="1:38" s="1536" customFormat="1" ht="15" customHeight="1">
      <c r="A35" s="1792"/>
      <c r="B35" s="1541" t="s">
        <v>1176</v>
      </c>
      <c r="C35" s="296"/>
      <c r="D35" s="1206">
        <f t="shared" si="0"/>
        <v>0</v>
      </c>
      <c r="E35" s="1438"/>
      <c r="F35" s="1894"/>
      <c r="G35" s="1438"/>
      <c r="H35" s="1544"/>
      <c r="I35" s="1438"/>
      <c r="J35" s="1544"/>
      <c r="K35" s="2509"/>
      <c r="L35" s="2743"/>
      <c r="M35" s="2509"/>
      <c r="N35" s="2743"/>
      <c r="O35" s="2509"/>
      <c r="P35" s="2914"/>
      <c r="Q35" s="3314"/>
      <c r="R35" s="2914"/>
      <c r="S35" s="3314"/>
      <c r="T35" s="2914"/>
      <c r="U35" s="3314"/>
      <c r="V35" s="2914"/>
      <c r="W35" s="3314"/>
      <c r="X35" s="2914"/>
      <c r="Y35" s="3314"/>
      <c r="Z35" s="2914"/>
      <c r="AA35" s="3315"/>
      <c r="AB35" s="3316"/>
      <c r="AC35" s="3317"/>
      <c r="AD35" s="2914">
        <v>0</v>
      </c>
      <c r="AE35" s="3316"/>
      <c r="AF35" s="3318"/>
      <c r="AG35" s="2914">
        <v>0</v>
      </c>
      <c r="AH35" s="1795"/>
      <c r="AI35" s="255"/>
      <c r="AJ35" s="1740">
        <f t="shared" si="1"/>
        <v>0</v>
      </c>
      <c r="AK35" s="1740"/>
      <c r="AL35" s="2843">
        <f t="shared" si="3"/>
        <v>0</v>
      </c>
    </row>
    <row r="36" spans="1:38" s="1536" customFormat="1" ht="15" customHeight="1">
      <c r="A36" s="1792"/>
      <c r="B36" s="1541" t="s">
        <v>1177</v>
      </c>
      <c r="C36" s="296"/>
      <c r="D36" s="1206">
        <f t="shared" si="0"/>
        <v>0</v>
      </c>
      <c r="E36" s="1438"/>
      <c r="F36" s="1894"/>
      <c r="G36" s="1438"/>
      <c r="H36" s="1544"/>
      <c r="I36" s="1438"/>
      <c r="J36" s="1544"/>
      <c r="K36" s="2509"/>
      <c r="L36" s="2743"/>
      <c r="M36" s="2509"/>
      <c r="N36" s="2743"/>
      <c r="O36" s="2509"/>
      <c r="P36" s="2914"/>
      <c r="Q36" s="3314"/>
      <c r="R36" s="2914"/>
      <c r="S36" s="3314"/>
      <c r="T36" s="2914"/>
      <c r="U36" s="3314"/>
      <c r="V36" s="2914"/>
      <c r="W36" s="3314"/>
      <c r="X36" s="2914"/>
      <c r="Y36" s="3314"/>
      <c r="Z36" s="2914"/>
      <c r="AA36" s="3315"/>
      <c r="AB36" s="3316"/>
      <c r="AC36" s="3317"/>
      <c r="AD36" s="2914">
        <v>0</v>
      </c>
      <c r="AE36" s="3316"/>
      <c r="AF36" s="3318"/>
      <c r="AG36" s="2914">
        <v>0</v>
      </c>
      <c r="AH36" s="1795"/>
      <c r="AI36" s="255"/>
      <c r="AJ36" s="1740">
        <f t="shared" si="1"/>
        <v>0</v>
      </c>
      <c r="AK36" s="1740"/>
      <c r="AL36" s="2843">
        <f t="shared" si="3"/>
        <v>0</v>
      </c>
    </row>
    <row r="37" spans="1:38" s="1536" customFormat="1" ht="15" customHeight="1">
      <c r="A37" s="1792"/>
      <c r="B37" s="1541" t="s">
        <v>1178</v>
      </c>
      <c r="C37" s="296"/>
      <c r="D37" s="1206">
        <f t="shared" si="0"/>
        <v>0</v>
      </c>
      <c r="E37" s="1438"/>
      <c r="F37" s="1894"/>
      <c r="G37" s="1438"/>
      <c r="H37" s="1544"/>
      <c r="I37" s="1438"/>
      <c r="J37" s="1544"/>
      <c r="K37" s="2509"/>
      <c r="L37" s="2743"/>
      <c r="M37" s="2509"/>
      <c r="N37" s="2743"/>
      <c r="O37" s="2509"/>
      <c r="P37" s="2914"/>
      <c r="Q37" s="3314"/>
      <c r="R37" s="2914"/>
      <c r="S37" s="3314"/>
      <c r="T37" s="2914"/>
      <c r="U37" s="3314"/>
      <c r="V37" s="2914"/>
      <c r="W37" s="3314"/>
      <c r="X37" s="2914"/>
      <c r="Y37" s="3314"/>
      <c r="Z37" s="2914"/>
      <c r="AA37" s="3315"/>
      <c r="AB37" s="3316"/>
      <c r="AC37" s="3317"/>
      <c r="AD37" s="2914">
        <v>0</v>
      </c>
      <c r="AE37" s="3316"/>
      <c r="AF37" s="3318"/>
      <c r="AG37" s="2914">
        <v>0</v>
      </c>
      <c r="AH37" s="1795"/>
      <c r="AI37" s="255"/>
      <c r="AJ37" s="1740">
        <f t="shared" si="1"/>
        <v>0</v>
      </c>
      <c r="AK37" s="1740"/>
      <c r="AL37" s="2843">
        <f t="shared" si="3"/>
        <v>0</v>
      </c>
    </row>
    <row r="38" spans="1:38" s="1536" customFormat="1" ht="15" customHeight="1">
      <c r="A38" s="1792"/>
      <c r="B38" s="1541" t="s">
        <v>1148</v>
      </c>
      <c r="C38" s="296"/>
      <c r="D38" s="1206">
        <f t="shared" si="0"/>
        <v>0</v>
      </c>
      <c r="E38" s="1438"/>
      <c r="F38" s="1894"/>
      <c r="G38" s="1438"/>
      <c r="H38" s="1544"/>
      <c r="I38" s="1438"/>
      <c r="J38" s="1544"/>
      <c r="K38" s="2509"/>
      <c r="L38" s="2743"/>
      <c r="M38" s="2509"/>
      <c r="N38" s="2743"/>
      <c r="O38" s="2509"/>
      <c r="P38" s="2914"/>
      <c r="Q38" s="3314"/>
      <c r="R38" s="2914"/>
      <c r="S38" s="3314"/>
      <c r="T38" s="2914"/>
      <c r="U38" s="3314"/>
      <c r="V38" s="2914"/>
      <c r="W38" s="3314"/>
      <c r="X38" s="2914"/>
      <c r="Y38" s="3314"/>
      <c r="Z38" s="2914"/>
      <c r="AA38" s="3315"/>
      <c r="AB38" s="3316"/>
      <c r="AC38" s="3317"/>
      <c r="AD38" s="2914">
        <v>0</v>
      </c>
      <c r="AE38" s="3316"/>
      <c r="AF38" s="3318"/>
      <c r="AG38" s="2914">
        <v>0</v>
      </c>
      <c r="AH38" s="1795"/>
      <c r="AI38" s="255"/>
      <c r="AJ38" s="1740">
        <f t="shared" si="1"/>
        <v>0</v>
      </c>
      <c r="AK38" s="1740"/>
      <c r="AL38" s="2843">
        <f t="shared" si="3"/>
        <v>0</v>
      </c>
    </row>
    <row r="39" spans="1:38" s="1536" customFormat="1" ht="15" customHeight="1">
      <c r="A39" s="1792"/>
      <c r="B39" s="1541" t="s">
        <v>1149</v>
      </c>
      <c r="C39" s="296"/>
      <c r="D39" s="1206">
        <f t="shared" si="0"/>
        <v>0</v>
      </c>
      <c r="E39" s="1438"/>
      <c r="F39" s="1894"/>
      <c r="G39" s="1438"/>
      <c r="H39" s="1544"/>
      <c r="I39" s="1438"/>
      <c r="J39" s="1544"/>
      <c r="K39" s="2509"/>
      <c r="L39" s="2743"/>
      <c r="M39" s="2509"/>
      <c r="N39" s="2743"/>
      <c r="O39" s="2509"/>
      <c r="P39" s="2914"/>
      <c r="Q39" s="3314"/>
      <c r="R39" s="2914"/>
      <c r="S39" s="3314"/>
      <c r="T39" s="2914"/>
      <c r="U39" s="3314"/>
      <c r="V39" s="2914"/>
      <c r="W39" s="3314"/>
      <c r="X39" s="2914"/>
      <c r="Y39" s="3314"/>
      <c r="Z39" s="2914"/>
      <c r="AA39" s="3315"/>
      <c r="AB39" s="3316"/>
      <c r="AC39" s="3317"/>
      <c r="AD39" s="2914">
        <v>0</v>
      </c>
      <c r="AE39" s="3316"/>
      <c r="AF39" s="3318"/>
      <c r="AG39" s="2914">
        <v>0</v>
      </c>
      <c r="AH39" s="1795"/>
      <c r="AI39" s="255"/>
      <c r="AJ39" s="1740">
        <f t="shared" si="1"/>
        <v>0</v>
      </c>
      <c r="AK39" s="1740"/>
      <c r="AL39" s="2843">
        <f t="shared" si="3"/>
        <v>0</v>
      </c>
    </row>
    <row r="40" spans="1:38" s="1536" customFormat="1" ht="15" customHeight="1">
      <c r="A40" s="1792"/>
      <c r="B40" s="1541" t="s">
        <v>1258</v>
      </c>
      <c r="C40" s="296"/>
      <c r="D40" s="1206" t="s">
        <v>15</v>
      </c>
      <c r="E40" s="1438"/>
      <c r="F40" s="1894"/>
      <c r="G40" s="1438"/>
      <c r="H40" s="1544"/>
      <c r="I40" s="1438"/>
      <c r="J40" s="1544"/>
      <c r="K40" s="329"/>
      <c r="L40" s="2743"/>
      <c r="M40" s="329"/>
      <c r="N40" s="2743"/>
      <c r="O40" s="329"/>
      <c r="P40" s="2914"/>
      <c r="Q40" s="3307"/>
      <c r="R40" s="2914"/>
      <c r="S40" s="3307"/>
      <c r="T40" s="2914"/>
      <c r="U40" s="3307"/>
      <c r="V40" s="2914"/>
      <c r="W40" s="3311"/>
      <c r="X40" s="2914"/>
      <c r="Y40" s="3311"/>
      <c r="Z40" s="2914"/>
      <c r="AA40" s="3310"/>
      <c r="AB40" s="3307"/>
      <c r="AC40" s="3312"/>
      <c r="AD40" s="3311"/>
      <c r="AE40" s="3311"/>
      <c r="AF40" s="3313"/>
      <c r="AG40" s="3311"/>
      <c r="AH40" s="1795"/>
      <c r="AI40" s="255"/>
      <c r="AJ40" s="1740"/>
      <c r="AK40" s="1740"/>
      <c r="AL40" s="2335"/>
    </row>
    <row r="41" spans="1:38" s="1536" customFormat="1" ht="15" customHeight="1">
      <c r="A41" s="1792"/>
      <c r="B41" s="1541" t="s">
        <v>1179</v>
      </c>
      <c r="C41" s="296"/>
      <c r="D41" s="1206">
        <f t="shared" si="0"/>
        <v>0</v>
      </c>
      <c r="E41" s="1438"/>
      <c r="F41" s="1894"/>
      <c r="G41" s="1438"/>
      <c r="H41" s="1544"/>
      <c r="I41" s="1438"/>
      <c r="J41" s="1544"/>
      <c r="K41" s="2509"/>
      <c r="L41" s="2743"/>
      <c r="M41" s="2509"/>
      <c r="N41" s="2743"/>
      <c r="O41" s="2509"/>
      <c r="P41" s="2914"/>
      <c r="Q41" s="3314"/>
      <c r="R41" s="2914"/>
      <c r="S41" s="3314"/>
      <c r="T41" s="2914"/>
      <c r="U41" s="3314"/>
      <c r="V41" s="2914"/>
      <c r="W41" s="3314"/>
      <c r="X41" s="2914"/>
      <c r="Y41" s="3314"/>
      <c r="Z41" s="2914"/>
      <c r="AA41" s="3315"/>
      <c r="AB41" s="3316"/>
      <c r="AC41" s="3317"/>
      <c r="AD41" s="2914">
        <v>0</v>
      </c>
      <c r="AE41" s="3316"/>
      <c r="AF41" s="3318"/>
      <c r="AG41" s="2914">
        <v>0</v>
      </c>
      <c r="AH41" s="1795"/>
      <c r="AI41" s="255"/>
      <c r="AJ41" s="1740">
        <f t="shared" si="1"/>
        <v>0</v>
      </c>
      <c r="AK41" s="1740"/>
      <c r="AL41" s="2843">
        <f t="shared" ref="AL41:AL48" si="4">ROUND(IF(AG41=0,0,AJ41/ABS(AG41)),3)</f>
        <v>0</v>
      </c>
    </row>
    <row r="42" spans="1:38" s="1536" customFormat="1" ht="15" customHeight="1">
      <c r="A42" s="1792"/>
      <c r="B42" s="1541" t="s">
        <v>1180</v>
      </c>
      <c r="C42" s="296"/>
      <c r="D42" s="1206">
        <f t="shared" si="0"/>
        <v>0</v>
      </c>
      <c r="E42" s="1438"/>
      <c r="F42" s="1894"/>
      <c r="G42" s="1438"/>
      <c r="H42" s="1544"/>
      <c r="I42" s="1438"/>
      <c r="J42" s="1544"/>
      <c r="K42" s="2509"/>
      <c r="L42" s="2743"/>
      <c r="M42" s="2509"/>
      <c r="N42" s="2743"/>
      <c r="O42" s="2509"/>
      <c r="P42" s="2914"/>
      <c r="Q42" s="3314"/>
      <c r="R42" s="2914"/>
      <c r="S42" s="3314"/>
      <c r="T42" s="2914"/>
      <c r="U42" s="3314"/>
      <c r="V42" s="2914"/>
      <c r="W42" s="3314"/>
      <c r="X42" s="2914"/>
      <c r="Y42" s="3314"/>
      <c r="Z42" s="2914"/>
      <c r="AA42" s="3315"/>
      <c r="AB42" s="3316"/>
      <c r="AC42" s="3317"/>
      <c r="AD42" s="2914">
        <v>0</v>
      </c>
      <c r="AE42" s="3316"/>
      <c r="AF42" s="3318"/>
      <c r="AG42" s="2914">
        <v>0</v>
      </c>
      <c r="AH42" s="1795"/>
      <c r="AI42" s="255"/>
      <c r="AJ42" s="1740">
        <f t="shared" si="1"/>
        <v>0</v>
      </c>
      <c r="AK42" s="1740"/>
      <c r="AL42" s="2843">
        <f t="shared" si="4"/>
        <v>0</v>
      </c>
    </row>
    <row r="43" spans="1:38" s="1536" customFormat="1" ht="15" customHeight="1">
      <c r="A43" s="1792"/>
      <c r="B43" s="1541" t="s">
        <v>1181</v>
      </c>
      <c r="C43" s="296"/>
      <c r="D43" s="1206">
        <f t="shared" si="0"/>
        <v>0</v>
      </c>
      <c r="E43" s="1438"/>
      <c r="F43" s="1894"/>
      <c r="G43" s="1438"/>
      <c r="H43" s="1544"/>
      <c r="I43" s="1438"/>
      <c r="J43" s="1544"/>
      <c r="K43" s="2509"/>
      <c r="L43" s="2743"/>
      <c r="M43" s="2509"/>
      <c r="N43" s="2743"/>
      <c r="O43" s="2509"/>
      <c r="P43" s="2914"/>
      <c r="Q43" s="3314"/>
      <c r="R43" s="2914"/>
      <c r="S43" s="3314"/>
      <c r="T43" s="2914"/>
      <c r="U43" s="3314"/>
      <c r="V43" s="2914"/>
      <c r="W43" s="3314"/>
      <c r="X43" s="2914"/>
      <c r="Y43" s="3314"/>
      <c r="Z43" s="2914"/>
      <c r="AA43" s="3315"/>
      <c r="AB43" s="3316"/>
      <c r="AC43" s="3317"/>
      <c r="AD43" s="2914">
        <v>0</v>
      </c>
      <c r="AE43" s="3316"/>
      <c r="AF43" s="3318"/>
      <c r="AG43" s="2914">
        <v>0</v>
      </c>
      <c r="AH43" s="1795"/>
      <c r="AI43" s="255"/>
      <c r="AJ43" s="1740">
        <f t="shared" si="1"/>
        <v>0</v>
      </c>
      <c r="AK43" s="1740"/>
      <c r="AL43" s="2843">
        <f t="shared" si="4"/>
        <v>0</v>
      </c>
    </row>
    <row r="44" spans="1:38" s="1536" customFormat="1" ht="15" customHeight="1">
      <c r="A44" s="1792"/>
      <c r="B44" s="1541" t="s">
        <v>1182</v>
      </c>
      <c r="C44" s="296"/>
      <c r="D44" s="1206">
        <f t="shared" si="0"/>
        <v>0</v>
      </c>
      <c r="E44" s="1438"/>
      <c r="F44" s="1894"/>
      <c r="G44" s="1438"/>
      <c r="H44" s="1544"/>
      <c r="I44" s="1438"/>
      <c r="J44" s="1544"/>
      <c r="K44" s="2509"/>
      <c r="L44" s="2743"/>
      <c r="M44" s="2509"/>
      <c r="N44" s="2743"/>
      <c r="O44" s="2509"/>
      <c r="P44" s="2914"/>
      <c r="Q44" s="3314"/>
      <c r="R44" s="2914"/>
      <c r="S44" s="3314"/>
      <c r="T44" s="2914"/>
      <c r="U44" s="3314"/>
      <c r="V44" s="2914"/>
      <c r="W44" s="3314"/>
      <c r="X44" s="2914"/>
      <c r="Y44" s="3314"/>
      <c r="Z44" s="2914"/>
      <c r="AA44" s="3315"/>
      <c r="AB44" s="3316"/>
      <c r="AC44" s="3317"/>
      <c r="AD44" s="2914">
        <v>0</v>
      </c>
      <c r="AE44" s="3316"/>
      <c r="AF44" s="3318"/>
      <c r="AG44" s="2914">
        <v>0</v>
      </c>
      <c r="AH44" s="1795"/>
      <c r="AI44" s="255"/>
      <c r="AJ44" s="1740">
        <f t="shared" si="1"/>
        <v>0</v>
      </c>
      <c r="AK44" s="1740"/>
      <c r="AL44" s="2843">
        <f t="shared" si="4"/>
        <v>0</v>
      </c>
    </row>
    <row r="45" spans="1:38" s="1536" customFormat="1" ht="15" customHeight="1">
      <c r="A45" s="1792"/>
      <c r="B45" s="1541" t="s">
        <v>1183</v>
      </c>
      <c r="C45" s="296"/>
      <c r="D45" s="1206">
        <f t="shared" si="0"/>
        <v>0</v>
      </c>
      <c r="E45" s="1438"/>
      <c r="F45" s="1894"/>
      <c r="G45" s="1438"/>
      <c r="H45" s="1544"/>
      <c r="I45" s="1438"/>
      <c r="J45" s="1544"/>
      <c r="K45" s="2509"/>
      <c r="L45" s="2743"/>
      <c r="M45" s="2509"/>
      <c r="N45" s="2743"/>
      <c r="O45" s="2509"/>
      <c r="P45" s="2914"/>
      <c r="Q45" s="3314"/>
      <c r="R45" s="2914"/>
      <c r="S45" s="3314"/>
      <c r="T45" s="2914"/>
      <c r="U45" s="3314"/>
      <c r="V45" s="2914"/>
      <c r="W45" s="3314"/>
      <c r="X45" s="2914"/>
      <c r="Y45" s="3314"/>
      <c r="Z45" s="2914"/>
      <c r="AA45" s="3315"/>
      <c r="AB45" s="3316"/>
      <c r="AC45" s="3317"/>
      <c r="AD45" s="2914">
        <v>0</v>
      </c>
      <c r="AE45" s="3316"/>
      <c r="AF45" s="3318"/>
      <c r="AG45" s="2914">
        <v>0</v>
      </c>
      <c r="AH45" s="1795"/>
      <c r="AI45" s="255"/>
      <c r="AJ45" s="1740">
        <f t="shared" si="1"/>
        <v>0</v>
      </c>
      <c r="AK45" s="1740"/>
      <c r="AL45" s="2843">
        <f t="shared" si="4"/>
        <v>0</v>
      </c>
    </row>
    <row r="46" spans="1:38" s="1536" customFormat="1" ht="15" customHeight="1">
      <c r="A46" s="1792"/>
      <c r="B46" s="1541" t="s">
        <v>1184</v>
      </c>
      <c r="C46" s="296"/>
      <c r="D46" s="1206">
        <f t="shared" si="0"/>
        <v>8.1999999999999993</v>
      </c>
      <c r="E46" s="1438"/>
      <c r="F46" s="1894"/>
      <c r="G46" s="1438"/>
      <c r="H46" s="1544"/>
      <c r="I46" s="1438"/>
      <c r="J46" s="1544"/>
      <c r="K46" s="2509"/>
      <c r="L46" s="2743"/>
      <c r="M46" s="2509"/>
      <c r="N46" s="2743"/>
      <c r="O46" s="2509"/>
      <c r="P46" s="2914"/>
      <c r="Q46" s="3314"/>
      <c r="R46" s="2914"/>
      <c r="S46" s="3314"/>
      <c r="T46" s="2914"/>
      <c r="U46" s="3314"/>
      <c r="V46" s="2914"/>
      <c r="W46" s="3314"/>
      <c r="X46" s="2914"/>
      <c r="Y46" s="3314"/>
      <c r="Z46" s="2914"/>
      <c r="AA46" s="3315"/>
      <c r="AB46" s="3316"/>
      <c r="AC46" s="3317"/>
      <c r="AD46" s="2914">
        <v>8.1999999999999993</v>
      </c>
      <c r="AE46" s="3316"/>
      <c r="AF46" s="3318"/>
      <c r="AG46" s="2914">
        <v>8.3000000000000007</v>
      </c>
      <c r="AH46" s="1795"/>
      <c r="AI46" s="255"/>
      <c r="AJ46" s="1740">
        <f t="shared" si="1"/>
        <v>-0.1</v>
      </c>
      <c r="AK46" s="1740"/>
      <c r="AL46" s="2843">
        <f t="shared" si="4"/>
        <v>-1.2E-2</v>
      </c>
    </row>
    <row r="47" spans="1:38" ht="15" customHeight="1">
      <c r="A47" s="340"/>
      <c r="B47" s="1541" t="s">
        <v>1185</v>
      </c>
      <c r="C47" s="218"/>
      <c r="D47" s="1206">
        <f t="shared" si="0"/>
        <v>0</v>
      </c>
      <c r="E47" s="1438"/>
      <c r="F47" s="1894"/>
      <c r="G47" s="1438"/>
      <c r="H47" s="1544"/>
      <c r="I47" s="1438"/>
      <c r="J47" s="1544"/>
      <c r="K47" s="2509"/>
      <c r="L47" s="2743"/>
      <c r="M47" s="2509"/>
      <c r="N47" s="2743"/>
      <c r="O47" s="2509"/>
      <c r="P47" s="2914"/>
      <c r="Q47" s="3314"/>
      <c r="R47" s="2914"/>
      <c r="S47" s="3314"/>
      <c r="T47" s="2914"/>
      <c r="U47" s="3314"/>
      <c r="V47" s="2914"/>
      <c r="W47" s="3314"/>
      <c r="X47" s="2914"/>
      <c r="Y47" s="3314"/>
      <c r="Z47" s="2914"/>
      <c r="AA47" s="3315"/>
      <c r="AB47" s="3316"/>
      <c r="AC47" s="3317"/>
      <c r="AD47" s="2914">
        <v>0</v>
      </c>
      <c r="AE47" s="3316"/>
      <c r="AF47" s="3318"/>
      <c r="AG47" s="2914">
        <v>0</v>
      </c>
      <c r="AH47" s="491"/>
      <c r="AI47" s="243"/>
      <c r="AJ47" s="1608">
        <f t="shared" si="1"/>
        <v>0</v>
      </c>
      <c r="AK47" s="1608"/>
      <c r="AL47" s="2324">
        <f t="shared" si="4"/>
        <v>0</v>
      </c>
    </row>
    <row r="48" spans="1:38" ht="15" customHeight="1">
      <c r="A48" s="340"/>
      <c r="B48" s="1541" t="s">
        <v>1186</v>
      </c>
      <c r="C48" s="218"/>
      <c r="D48" s="1206">
        <f t="shared" si="0"/>
        <v>0</v>
      </c>
      <c r="E48" s="1438"/>
      <c r="F48" s="1894"/>
      <c r="G48" s="1438"/>
      <c r="H48" s="1544"/>
      <c r="I48" s="1438"/>
      <c r="J48" s="1544"/>
      <c r="K48" s="2509"/>
      <c r="L48" s="2743"/>
      <c r="M48" s="2509"/>
      <c r="N48" s="2743"/>
      <c r="O48" s="2509"/>
      <c r="P48" s="2914"/>
      <c r="Q48" s="3314"/>
      <c r="R48" s="2914"/>
      <c r="S48" s="3314"/>
      <c r="T48" s="2914"/>
      <c r="U48" s="3314"/>
      <c r="V48" s="2914"/>
      <c r="W48" s="3314"/>
      <c r="X48" s="2914"/>
      <c r="Y48" s="3314"/>
      <c r="Z48" s="2914"/>
      <c r="AA48" s="3315"/>
      <c r="AB48" s="3316"/>
      <c r="AC48" s="3317"/>
      <c r="AD48" s="2914">
        <v>0</v>
      </c>
      <c r="AE48" s="3316"/>
      <c r="AF48" s="3318"/>
      <c r="AG48" s="2914">
        <v>0</v>
      </c>
      <c r="AH48" s="491"/>
      <c r="AI48" s="243"/>
      <c r="AJ48" s="1608">
        <f t="shared" si="1"/>
        <v>0</v>
      </c>
      <c r="AK48" s="1608"/>
      <c r="AL48" s="2324">
        <f t="shared" si="4"/>
        <v>0</v>
      </c>
    </row>
    <row r="49" spans="1:38" s="1536" customFormat="1" ht="15" customHeight="1">
      <c r="A49" s="1792"/>
      <c r="B49" s="1541" t="s">
        <v>1187</v>
      </c>
      <c r="C49" s="296"/>
      <c r="D49" s="1206">
        <f t="shared" si="0"/>
        <v>0</v>
      </c>
      <c r="E49" s="1438"/>
      <c r="F49" s="1894"/>
      <c r="G49" s="1438"/>
      <c r="H49" s="1544"/>
      <c r="I49" s="1438"/>
      <c r="J49" s="1544"/>
      <c r="K49" s="2509"/>
      <c r="L49" s="2743"/>
      <c r="M49" s="2509"/>
      <c r="N49" s="2743"/>
      <c r="O49" s="2509"/>
      <c r="P49" s="2914"/>
      <c r="Q49" s="3314"/>
      <c r="R49" s="2914"/>
      <c r="S49" s="3314"/>
      <c r="T49" s="2914"/>
      <c r="U49" s="3314"/>
      <c r="V49" s="2914"/>
      <c r="W49" s="3314"/>
      <c r="X49" s="2914"/>
      <c r="Y49" s="3314"/>
      <c r="Z49" s="2914"/>
      <c r="AA49" s="3315"/>
      <c r="AB49" s="3316"/>
      <c r="AC49" s="3317"/>
      <c r="AD49" s="2914">
        <v>0</v>
      </c>
      <c r="AE49" s="3316"/>
      <c r="AF49" s="3318"/>
      <c r="AG49" s="2914">
        <v>0.1</v>
      </c>
      <c r="AH49" s="1795"/>
      <c r="AI49" s="255"/>
      <c r="AJ49" s="1740">
        <f t="shared" si="1"/>
        <v>-0.1</v>
      </c>
      <c r="AK49" s="1740"/>
      <c r="AL49" s="2843">
        <f>ROUND(IF(AG49=0,1,AJ49/ABS(AG49)),3)</f>
        <v>-1</v>
      </c>
    </row>
    <row r="50" spans="1:38" s="1536" customFormat="1" ht="15" customHeight="1">
      <c r="A50" s="1792"/>
      <c r="B50" s="1541" t="s">
        <v>1159</v>
      </c>
      <c r="C50" s="296"/>
      <c r="D50" s="1206">
        <f t="shared" si="0"/>
        <v>0</v>
      </c>
      <c r="E50" s="1438"/>
      <c r="F50" s="1894"/>
      <c r="G50" s="1438"/>
      <c r="H50" s="1544"/>
      <c r="I50" s="1438"/>
      <c r="J50" s="1544"/>
      <c r="K50" s="2509"/>
      <c r="L50" s="2743"/>
      <c r="M50" s="2509"/>
      <c r="N50" s="2743"/>
      <c r="O50" s="2509"/>
      <c r="P50" s="2914"/>
      <c r="Q50" s="3314"/>
      <c r="R50" s="2914"/>
      <c r="S50" s="3314"/>
      <c r="T50" s="2914"/>
      <c r="U50" s="3314"/>
      <c r="V50" s="2914"/>
      <c r="W50" s="3314"/>
      <c r="X50" s="2914"/>
      <c r="Y50" s="3314"/>
      <c r="Z50" s="2914"/>
      <c r="AA50" s="3315"/>
      <c r="AB50" s="3316"/>
      <c r="AC50" s="3317"/>
      <c r="AD50" s="2914">
        <v>0</v>
      </c>
      <c r="AE50" s="3316"/>
      <c r="AF50" s="3318"/>
      <c r="AG50" s="2914">
        <v>0</v>
      </c>
      <c r="AH50" s="1795"/>
      <c r="AI50" s="255"/>
      <c r="AJ50" s="1740">
        <f t="shared" si="1"/>
        <v>0</v>
      </c>
      <c r="AK50" s="1740"/>
      <c r="AL50" s="2843">
        <f>ROUND(IF(AG50=0,0,AJ50/ABS(AG50)),3)</f>
        <v>0</v>
      </c>
    </row>
    <row r="51" spans="1:38" s="1536" customFormat="1" ht="15" customHeight="1">
      <c r="A51" s="1792"/>
      <c r="B51" s="1541" t="s">
        <v>1160</v>
      </c>
      <c r="C51" s="296"/>
      <c r="D51" s="1206">
        <f t="shared" si="0"/>
        <v>0</v>
      </c>
      <c r="E51" s="1438"/>
      <c r="F51" s="1894"/>
      <c r="G51" s="1438"/>
      <c r="H51" s="1544"/>
      <c r="I51" s="1438"/>
      <c r="J51" s="1544"/>
      <c r="K51" s="2509"/>
      <c r="L51" s="2743"/>
      <c r="M51" s="2509"/>
      <c r="N51" s="2743"/>
      <c r="O51" s="2509"/>
      <c r="P51" s="2914"/>
      <c r="Q51" s="3314"/>
      <c r="R51" s="2914"/>
      <c r="S51" s="3314"/>
      <c r="T51" s="2914"/>
      <c r="U51" s="3314"/>
      <c r="V51" s="2914"/>
      <c r="W51" s="3314"/>
      <c r="X51" s="2914"/>
      <c r="Y51" s="3314"/>
      <c r="Z51" s="2914"/>
      <c r="AA51" s="3315"/>
      <c r="AB51" s="3316"/>
      <c r="AC51" s="3317"/>
      <c r="AD51" s="2914">
        <v>0</v>
      </c>
      <c r="AE51" s="3316"/>
      <c r="AF51" s="3318"/>
      <c r="AG51" s="2914">
        <v>0</v>
      </c>
      <c r="AH51" s="1795"/>
      <c r="AI51" s="255"/>
      <c r="AJ51" s="1740">
        <f t="shared" si="1"/>
        <v>0</v>
      </c>
      <c r="AK51" s="1740"/>
      <c r="AL51" s="2843">
        <f>ROUND(IF(AG51=0,0,AJ51/ABS(AG51)),3)</f>
        <v>0</v>
      </c>
    </row>
    <row r="52" spans="1:38" s="1536" customFormat="1" ht="15" customHeight="1">
      <c r="A52" s="1792"/>
      <c r="B52" s="555" t="s">
        <v>1304</v>
      </c>
      <c r="C52" s="296"/>
      <c r="D52" s="1796">
        <f>ROUND(SUM(D19:D51),1)</f>
        <v>14</v>
      </c>
      <c r="E52" s="1540"/>
      <c r="F52" s="1796">
        <f>ROUND(SUM(F19:F51),1)</f>
        <v>0</v>
      </c>
      <c r="G52" s="1540"/>
      <c r="H52" s="1796">
        <f>ROUND(SUM(H19:H51),1)</f>
        <v>0</v>
      </c>
      <c r="I52" s="1540"/>
      <c r="J52" s="1796">
        <f>ROUND(SUM(J19:J51),1)</f>
        <v>0</v>
      </c>
      <c r="K52" s="329"/>
      <c r="L52" s="1796">
        <f>ROUND(SUM(L19:L51),1)</f>
        <v>0</v>
      </c>
      <c r="M52" s="329"/>
      <c r="N52" s="1796">
        <f>ROUND(SUM(N19:N51),1)</f>
        <v>0</v>
      </c>
      <c r="O52" s="329"/>
      <c r="P52" s="3319">
        <f>ROUND(SUM(P19:P51),1)</f>
        <v>0</v>
      </c>
      <c r="Q52" s="3307"/>
      <c r="R52" s="3319">
        <f>ROUND(SUM(R19:R51),1)</f>
        <v>0</v>
      </c>
      <c r="S52" s="3307"/>
      <c r="T52" s="3319">
        <f>ROUND(SUM(T19:T51),1)</f>
        <v>0</v>
      </c>
      <c r="U52" s="3307"/>
      <c r="V52" s="3319">
        <f>ROUND(SUM(V19:V51),1)</f>
        <v>0</v>
      </c>
      <c r="W52" s="3311"/>
      <c r="X52" s="3319">
        <f>ROUND(SUM(X19:X51),1)</f>
        <v>0</v>
      </c>
      <c r="Y52" s="3311"/>
      <c r="Z52" s="3319">
        <f>ROUND(SUM(Z19:Z51),1)</f>
        <v>0</v>
      </c>
      <c r="AA52" s="3320"/>
      <c r="AB52" s="3307"/>
      <c r="AC52" s="3312"/>
      <c r="AD52" s="3319">
        <f>ROUND(SUM(AD19:AD51),1)</f>
        <v>14</v>
      </c>
      <c r="AE52" s="3311"/>
      <c r="AF52" s="3313"/>
      <c r="AG52" s="3319">
        <f>ROUND(SUM(AG19:AG51),1)</f>
        <v>13.3</v>
      </c>
      <c r="AH52" s="1795"/>
      <c r="AI52" s="255"/>
      <c r="AJ52" s="1796">
        <f>ROUND(SUM(AJ19:AJ51),1)</f>
        <v>0.7</v>
      </c>
      <c r="AK52" s="1740"/>
      <c r="AL52" s="2337">
        <f>ROUND(SUM((AD52-AG52)/ABS(AG52)),3)</f>
        <v>5.2999999999999999E-2</v>
      </c>
    </row>
    <row r="53" spans="1:38" s="1536" customFormat="1" ht="15" customHeight="1">
      <c r="A53" s="1792"/>
      <c r="B53" s="1541"/>
      <c r="C53" s="296"/>
      <c r="D53" s="1206"/>
      <c r="E53" s="1540"/>
      <c r="F53" s="1894"/>
      <c r="G53" s="1540"/>
      <c r="H53" s="1544"/>
      <c r="I53" s="1540"/>
      <c r="J53" s="1544"/>
      <c r="K53" s="329"/>
      <c r="L53" s="307"/>
      <c r="M53" s="329"/>
      <c r="N53" s="307"/>
      <c r="O53" s="329"/>
      <c r="P53" s="3306"/>
      <c r="Q53" s="3307"/>
      <c r="R53" s="3308"/>
      <c r="S53" s="3307"/>
      <c r="T53" s="3309"/>
      <c r="U53" s="3307"/>
      <c r="V53" s="3310"/>
      <c r="W53" s="3311"/>
      <c r="X53" s="3310"/>
      <c r="Y53" s="3311"/>
      <c r="Z53" s="3310"/>
      <c r="AA53" s="3310"/>
      <c r="AB53" s="3307"/>
      <c r="AC53" s="3312"/>
      <c r="AD53" s="3311"/>
      <c r="AE53" s="3311"/>
      <c r="AF53" s="3313"/>
      <c r="AG53" s="3311"/>
      <c r="AH53" s="1795"/>
      <c r="AI53" s="255"/>
      <c r="AJ53" s="1740"/>
      <c r="AK53" s="1740"/>
      <c r="AL53" s="2335"/>
    </row>
    <row r="54" spans="1:38" ht="15" customHeight="1">
      <c r="A54" s="340"/>
      <c r="B54" s="496" t="s">
        <v>151</v>
      </c>
      <c r="C54" s="218"/>
      <c r="D54" s="1206">
        <f t="shared" ref="D54" si="5">$AD54</f>
        <v>3559.9</v>
      </c>
      <c r="E54" s="1438"/>
      <c r="F54" s="1894"/>
      <c r="G54" s="1438"/>
      <c r="H54" s="1544"/>
      <c r="I54" s="1438"/>
      <c r="J54" s="1544"/>
      <c r="K54" s="2509"/>
      <c r="L54" s="2743"/>
      <c r="M54" s="2509"/>
      <c r="N54" s="2743"/>
      <c r="O54" s="2509"/>
      <c r="P54" s="2914"/>
      <c r="Q54" s="3314"/>
      <c r="R54" s="2914"/>
      <c r="S54" s="3314"/>
      <c r="T54" s="2914"/>
      <c r="U54" s="3314"/>
      <c r="V54" s="2914"/>
      <c r="W54" s="3314"/>
      <c r="X54" s="2914"/>
      <c r="Y54" s="3314"/>
      <c r="Z54" s="2914"/>
      <c r="AA54" s="3315"/>
      <c r="AB54" s="3316"/>
      <c r="AC54" s="3317"/>
      <c r="AD54" s="2914">
        <v>3559.9</v>
      </c>
      <c r="AE54" s="3316"/>
      <c r="AF54" s="3318"/>
      <c r="AG54" s="2914">
        <v>3337.1</v>
      </c>
      <c r="AH54" s="491"/>
      <c r="AI54" s="243"/>
      <c r="AJ54" s="1608">
        <f>ROUND(SUM(+AD54-AG54),1)</f>
        <v>222.8</v>
      </c>
      <c r="AK54" s="1608"/>
      <c r="AL54" s="2338">
        <f>ROUND(SUM((AD54-AG54)/ABS(AG54)),3)</f>
        <v>6.7000000000000004E-2</v>
      </c>
    </row>
    <row r="55" spans="1:38" ht="15" customHeight="1">
      <c r="A55" s="340"/>
      <c r="B55" s="218"/>
      <c r="C55" s="218"/>
      <c r="D55" s="3051"/>
      <c r="E55" s="1438"/>
      <c r="F55" s="3051"/>
      <c r="G55" s="1438"/>
      <c r="H55" s="3051"/>
      <c r="I55" s="1438"/>
      <c r="J55" s="3051"/>
      <c r="K55" s="355"/>
      <c r="L55" s="358"/>
      <c r="M55" s="355"/>
      <c r="N55" s="358"/>
      <c r="O55" s="355"/>
      <c r="P55" s="2355"/>
      <c r="Q55" s="2350"/>
      <c r="R55" s="2355"/>
      <c r="S55" s="2350"/>
      <c r="T55" s="3321"/>
      <c r="U55" s="2350"/>
      <c r="V55" s="3321"/>
      <c r="W55" s="3322"/>
      <c r="X55" s="3321"/>
      <c r="Y55" s="3322"/>
      <c r="Z55" s="3321"/>
      <c r="AA55" s="3323"/>
      <c r="AB55" s="2350"/>
      <c r="AC55" s="3324"/>
      <c r="AD55" s="3321"/>
      <c r="AE55" s="3323"/>
      <c r="AF55" s="3325"/>
      <c r="AG55" s="3321"/>
      <c r="AH55" s="491"/>
      <c r="AI55" s="243"/>
      <c r="AJ55" s="2285"/>
      <c r="AK55" s="2286"/>
      <c r="AL55" s="2339"/>
    </row>
    <row r="56" spans="1:38" ht="15" customHeight="1">
      <c r="A56" s="340"/>
      <c r="B56" s="216" t="s">
        <v>152</v>
      </c>
      <c r="C56" s="218"/>
      <c r="D56" s="1587">
        <f>ROUND(SUM(+D52+D54),2)</f>
        <v>3573.9</v>
      </c>
      <c r="E56" s="397"/>
      <c r="F56" s="1587">
        <f>ROUND(SUM(+F52+F54),2)</f>
        <v>0</v>
      </c>
      <c r="G56" s="397"/>
      <c r="H56" s="1587">
        <f>ROUND(SUM(+H52+H54),2)</f>
        <v>0</v>
      </c>
      <c r="I56" s="397"/>
      <c r="J56" s="1587">
        <f>ROUND(SUM(+J52+J54),2)</f>
        <v>0</v>
      </c>
      <c r="K56" s="397"/>
      <c r="L56" s="1587">
        <f>ROUND(SUM(+L52+L54),2)</f>
        <v>0</v>
      </c>
      <c r="M56" s="397"/>
      <c r="N56" s="1587">
        <f>ROUND(SUM(+N52+N54),2)</f>
        <v>0</v>
      </c>
      <c r="O56" s="397"/>
      <c r="P56" s="2348">
        <f>ROUND(SUM(+P52+P54),2)</f>
        <v>0</v>
      </c>
      <c r="Q56" s="3326"/>
      <c r="R56" s="2348">
        <f>ROUND(SUM(+R52+R54),2)</f>
        <v>0</v>
      </c>
      <c r="S56" s="3326"/>
      <c r="T56" s="2348">
        <f>ROUND(SUM(+T52+T54),2)</f>
        <v>0</v>
      </c>
      <c r="U56" s="3326"/>
      <c r="V56" s="2348">
        <f>ROUND(SUM(+V52+V54),2)</f>
        <v>0</v>
      </c>
      <c r="W56" s="2348"/>
      <c r="X56" s="2348">
        <f>ROUND(SUM(+X52+X54),2)</f>
        <v>0</v>
      </c>
      <c r="Y56" s="2348"/>
      <c r="Z56" s="2348">
        <f>ROUND(SUM(+Z52+Z54),2)</f>
        <v>0</v>
      </c>
      <c r="AA56" s="2348"/>
      <c r="AB56" s="3326"/>
      <c r="AC56" s="3327"/>
      <c r="AD56" s="2348">
        <f>ROUND(SUM(+AD52+AD54),1)</f>
        <v>3573.9</v>
      </c>
      <c r="AE56" s="2330"/>
      <c r="AF56" s="3328"/>
      <c r="AG56" s="2348">
        <f>ROUND(SUM(+AG52+AG54),1)</f>
        <v>3350.4</v>
      </c>
      <c r="AH56" s="498"/>
      <c r="AI56" s="264"/>
      <c r="AJ56" s="1461">
        <f>ROUND(SUM(+AJ52+AJ54),1)</f>
        <v>223.5</v>
      </c>
      <c r="AK56" s="500"/>
      <c r="AL56" s="2340">
        <f>ROUND(SUM((AD56-AG56)/ABS(AG56)),3)</f>
        <v>6.7000000000000004E-2</v>
      </c>
    </row>
    <row r="57" spans="1:38" ht="15" customHeight="1">
      <c r="A57" s="340"/>
      <c r="B57" s="218"/>
      <c r="C57" s="218"/>
      <c r="D57" s="3051"/>
      <c r="E57" s="1438"/>
      <c r="F57" s="1210"/>
      <c r="G57" s="1438"/>
      <c r="H57" s="1210"/>
      <c r="I57" s="1438"/>
      <c r="J57" s="1210"/>
      <c r="K57" s="355"/>
      <c r="L57" s="277"/>
      <c r="M57" s="355"/>
      <c r="N57" s="277"/>
      <c r="O57" s="355"/>
      <c r="P57" s="3321"/>
      <c r="Q57" s="2350"/>
      <c r="R57" s="3321"/>
      <c r="S57" s="2350"/>
      <c r="T57" s="3321"/>
      <c r="U57" s="2350"/>
      <c r="V57" s="3381"/>
      <c r="W57" s="3311"/>
      <c r="X57" s="3381"/>
      <c r="Y57" s="3311"/>
      <c r="Z57" s="3381"/>
      <c r="AA57" s="3290"/>
      <c r="AB57" s="3307"/>
      <c r="AC57" s="3312"/>
      <c r="AD57" s="3578"/>
      <c r="AE57" s="3334"/>
      <c r="AF57" s="3335"/>
      <c r="AG57" s="3578"/>
      <c r="AH57" s="2952"/>
      <c r="AI57" s="1827"/>
      <c r="AJ57" s="2953"/>
      <c r="AK57" s="2953"/>
      <c r="AL57" s="2954"/>
    </row>
    <row r="58" spans="1:38" ht="15" customHeight="1">
      <c r="A58" s="340"/>
      <c r="B58" s="363" t="s">
        <v>23</v>
      </c>
      <c r="C58" s="218"/>
      <c r="D58" s="1438"/>
      <c r="E58" s="1438"/>
      <c r="F58" s="2502"/>
      <c r="G58" s="1438"/>
      <c r="H58" s="2502"/>
      <c r="I58" s="1438"/>
      <c r="J58" s="2502"/>
      <c r="K58" s="355"/>
      <c r="L58" s="254"/>
      <c r="M58" s="355"/>
      <c r="N58" s="254"/>
      <c r="O58" s="355"/>
      <c r="P58" s="3322"/>
      <c r="Q58" s="2350"/>
      <c r="R58" s="3322"/>
      <c r="S58" s="2350"/>
      <c r="T58" s="3322"/>
      <c r="U58" s="2350"/>
      <c r="V58" s="3311"/>
      <c r="W58" s="3311"/>
      <c r="X58" s="3311"/>
      <c r="Y58" s="3311"/>
      <c r="Z58" s="3311"/>
      <c r="AA58" s="3311"/>
      <c r="AB58" s="3307"/>
      <c r="AC58" s="3312"/>
      <c r="AD58" s="3307"/>
      <c r="AE58" s="3334"/>
      <c r="AF58" s="3335"/>
      <c r="AG58" s="3307"/>
      <c r="AH58" s="2952"/>
      <c r="AI58" s="1827"/>
      <c r="AJ58" s="2953"/>
      <c r="AK58" s="2953"/>
      <c r="AL58" s="2954"/>
    </row>
    <row r="59" spans="1:38" ht="15" customHeight="1">
      <c r="A59" s="340"/>
      <c r="B59" s="1212" t="s">
        <v>153</v>
      </c>
      <c r="C59" s="218"/>
      <c r="D59" s="1188"/>
      <c r="E59" s="1438"/>
      <c r="F59" s="1188"/>
      <c r="G59" s="1438"/>
      <c r="H59" s="1206"/>
      <c r="I59" s="1438"/>
      <c r="J59" s="1206"/>
      <c r="K59" s="355"/>
      <c r="L59" s="308"/>
      <c r="M59" s="355"/>
      <c r="N59" s="308"/>
      <c r="O59" s="355"/>
      <c r="P59" s="3330"/>
      <c r="Q59" s="2350"/>
      <c r="R59" s="3331"/>
      <c r="S59" s="2350"/>
      <c r="T59" s="3331"/>
      <c r="U59" s="2350"/>
      <c r="V59" s="3311"/>
      <c r="W59" s="3311"/>
      <c r="X59" s="3311"/>
      <c r="Y59" s="3311"/>
      <c r="Z59" s="3311"/>
      <c r="AA59" s="3311"/>
      <c r="AB59" s="3307"/>
      <c r="AC59" s="3312"/>
      <c r="AD59" s="3307"/>
      <c r="AE59" s="3334"/>
      <c r="AF59" s="3335"/>
      <c r="AG59" s="3307"/>
      <c r="AH59" s="2952"/>
      <c r="AI59" s="1827"/>
      <c r="AJ59" s="2933"/>
      <c r="AK59" s="2953"/>
      <c r="AL59" s="2958"/>
    </row>
    <row r="60" spans="1:38" s="1536" customFormat="1" ht="15" customHeight="1">
      <c r="A60" s="1792"/>
      <c r="B60" s="2956" t="s">
        <v>25</v>
      </c>
      <c r="C60" s="296"/>
      <c r="D60" s="1206">
        <f t="shared" ref="D60:D69" si="6">$AD60</f>
        <v>378.1</v>
      </c>
      <c r="E60" s="1438"/>
      <c r="F60" s="1894"/>
      <c r="G60" s="1438"/>
      <c r="H60" s="1544"/>
      <c r="I60" s="1438"/>
      <c r="J60" s="1544"/>
      <c r="K60" s="2509"/>
      <c r="L60" s="2743"/>
      <c r="M60" s="2509"/>
      <c r="N60" s="2743"/>
      <c r="O60" s="2509"/>
      <c r="P60" s="2914"/>
      <c r="Q60" s="3314"/>
      <c r="R60" s="2914"/>
      <c r="S60" s="3314"/>
      <c r="T60" s="2914"/>
      <c r="U60" s="3314"/>
      <c r="V60" s="2914"/>
      <c r="W60" s="3314"/>
      <c r="X60" s="2914"/>
      <c r="Y60" s="3314"/>
      <c r="Z60" s="2914"/>
      <c r="AA60" s="3315"/>
      <c r="AB60" s="3316"/>
      <c r="AC60" s="3317"/>
      <c r="AD60" s="2914">
        <v>378.1</v>
      </c>
      <c r="AE60" s="3316"/>
      <c r="AF60" s="3318"/>
      <c r="AG60" s="2914">
        <v>263.60000000000002</v>
      </c>
      <c r="AH60" s="1795"/>
      <c r="AI60" s="255"/>
      <c r="AJ60" s="1544">
        <f>ROUND(SUM(+AD60-AG60),1)</f>
        <v>114.5</v>
      </c>
      <c r="AK60" s="1544"/>
      <c r="AL60" s="2843">
        <f>ROUND(IF(AG60=0,0,AJ60/ABS(AG60)),3)</f>
        <v>0.434</v>
      </c>
    </row>
    <row r="61" spans="1:38" ht="15" customHeight="1">
      <c r="A61" s="340"/>
      <c r="B61" s="369" t="s">
        <v>26</v>
      </c>
      <c r="C61" s="218"/>
      <c r="D61" s="1206">
        <f t="shared" si="6"/>
        <v>0</v>
      </c>
      <c r="E61" s="1438"/>
      <c r="F61" s="1894"/>
      <c r="G61" s="1438"/>
      <c r="H61" s="1544"/>
      <c r="I61" s="1438"/>
      <c r="J61" s="1544"/>
      <c r="K61" s="2509"/>
      <c r="L61" s="2743"/>
      <c r="M61" s="2509"/>
      <c r="N61" s="2743"/>
      <c r="O61" s="2509"/>
      <c r="P61" s="2914"/>
      <c r="Q61" s="3314"/>
      <c r="R61" s="2914"/>
      <c r="S61" s="3314"/>
      <c r="T61" s="2914"/>
      <c r="U61" s="3314"/>
      <c r="V61" s="2914"/>
      <c r="W61" s="3314"/>
      <c r="X61" s="2914"/>
      <c r="Y61" s="3314"/>
      <c r="Z61" s="2914"/>
      <c r="AA61" s="3315"/>
      <c r="AB61" s="3316"/>
      <c r="AC61" s="3317"/>
      <c r="AD61" s="2914">
        <v>0</v>
      </c>
      <c r="AE61" s="3316"/>
      <c r="AF61" s="3318"/>
      <c r="AG61" s="2914">
        <v>0</v>
      </c>
      <c r="AH61" s="1795"/>
      <c r="AI61" s="255"/>
      <c r="AJ61" s="1544">
        <f>ROUND(SUM(+AD61-AG61),1)</f>
        <v>0</v>
      </c>
      <c r="AK61" s="1544"/>
      <c r="AL61" s="2983">
        <f>ROUND(IF(AG61=0,0,AJ61/ABS(AG61)),3)</f>
        <v>0</v>
      </c>
    </row>
    <row r="62" spans="1:38" s="1536" customFormat="1" ht="15" customHeight="1">
      <c r="A62" s="1792"/>
      <c r="B62" s="2956" t="s">
        <v>27</v>
      </c>
      <c r="C62" s="296"/>
      <c r="D62" s="1206">
        <f t="shared" si="6"/>
        <v>3.2</v>
      </c>
      <c r="E62" s="1438"/>
      <c r="F62" s="1894"/>
      <c r="G62" s="1438"/>
      <c r="H62" s="1544"/>
      <c r="I62" s="1438"/>
      <c r="J62" s="1544"/>
      <c r="K62" s="2509"/>
      <c r="L62" s="2743"/>
      <c r="M62" s="2509"/>
      <c r="N62" s="2743"/>
      <c r="O62" s="2509"/>
      <c r="P62" s="2914"/>
      <c r="Q62" s="3314"/>
      <c r="R62" s="2914"/>
      <c r="S62" s="3314"/>
      <c r="T62" s="2914"/>
      <c r="U62" s="3314"/>
      <c r="V62" s="2914"/>
      <c r="W62" s="3314"/>
      <c r="X62" s="2914"/>
      <c r="Y62" s="3314"/>
      <c r="Z62" s="2914"/>
      <c r="AA62" s="3315"/>
      <c r="AB62" s="3316"/>
      <c r="AC62" s="3317"/>
      <c r="AD62" s="2914">
        <v>3.2</v>
      </c>
      <c r="AE62" s="3316"/>
      <c r="AF62" s="3318"/>
      <c r="AG62" s="2914">
        <v>0.7</v>
      </c>
      <c r="AH62" s="1795"/>
      <c r="AI62" s="255"/>
      <c r="AJ62" s="1544">
        <f>ROUND(SUM(+AD62-AG62),1)</f>
        <v>2.5</v>
      </c>
      <c r="AK62" s="1544"/>
      <c r="AL62" s="2843">
        <f>ROUND(IF(AG62=0,0,AJ62/ABS(AG62)),3)</f>
        <v>3.5710000000000002</v>
      </c>
    </row>
    <row r="63" spans="1:38" s="1536" customFormat="1" ht="15" customHeight="1">
      <c r="A63" s="1792"/>
      <c r="B63" s="2956" t="s">
        <v>28</v>
      </c>
      <c r="C63" s="296"/>
      <c r="D63" s="1206" t="s">
        <v>15</v>
      </c>
      <c r="E63" s="1438"/>
      <c r="F63" s="1894"/>
      <c r="G63" s="1438"/>
      <c r="H63" s="1544"/>
      <c r="I63" s="1438"/>
      <c r="J63" s="1544"/>
      <c r="K63" s="2509"/>
      <c r="L63" s="2743"/>
      <c r="M63" s="2509"/>
      <c r="N63" s="2743"/>
      <c r="O63" s="2509"/>
      <c r="P63" s="2914"/>
      <c r="Q63" s="3314"/>
      <c r="R63" s="2914"/>
      <c r="S63" s="3314"/>
      <c r="T63" s="2914"/>
      <c r="U63" s="3314"/>
      <c r="V63" s="2914"/>
      <c r="W63" s="3314"/>
      <c r="X63" s="2914"/>
      <c r="Y63" s="3314"/>
      <c r="Z63" s="2914"/>
      <c r="AA63" s="3315"/>
      <c r="AB63" s="3316"/>
      <c r="AC63" s="3317"/>
      <c r="AD63" s="2914"/>
      <c r="AE63" s="3316"/>
      <c r="AF63" s="3318"/>
      <c r="AG63" s="2914"/>
      <c r="AH63" s="1795"/>
      <c r="AI63" s="255"/>
      <c r="AJ63" s="1206"/>
      <c r="AK63" s="2933"/>
      <c r="AL63" s="2958"/>
    </row>
    <row r="64" spans="1:38" s="1536" customFormat="1" ht="15" customHeight="1">
      <c r="A64" s="1792"/>
      <c r="B64" s="2957" t="s">
        <v>29</v>
      </c>
      <c r="C64" s="296"/>
      <c r="D64" s="1206">
        <f t="shared" si="6"/>
        <v>2577.8000000000002</v>
      </c>
      <c r="E64" s="1438"/>
      <c r="F64" s="1894"/>
      <c r="G64" s="1438"/>
      <c r="H64" s="1544"/>
      <c r="I64" s="1438"/>
      <c r="J64" s="1544"/>
      <c r="K64" s="2509"/>
      <c r="L64" s="2743"/>
      <c r="M64" s="2509"/>
      <c r="N64" s="2743"/>
      <c r="O64" s="2509"/>
      <c r="P64" s="2914"/>
      <c r="Q64" s="3314"/>
      <c r="R64" s="2914"/>
      <c r="S64" s="3314"/>
      <c r="T64" s="2914"/>
      <c r="U64" s="3314"/>
      <c r="V64" s="2914"/>
      <c r="W64" s="3314"/>
      <c r="X64" s="2914"/>
      <c r="Y64" s="3314"/>
      <c r="Z64" s="2914"/>
      <c r="AA64" s="3315"/>
      <c r="AB64" s="3316"/>
      <c r="AC64" s="3317"/>
      <c r="AD64" s="2914">
        <v>2577.8000000000002</v>
      </c>
      <c r="AE64" s="3316"/>
      <c r="AF64" s="3318"/>
      <c r="AG64" s="2914">
        <v>2701.3</v>
      </c>
      <c r="AH64" s="1795"/>
      <c r="AI64" s="255"/>
      <c r="AJ64" s="1544">
        <f t="shared" ref="AJ64:AJ69" si="7">ROUND(SUM(+AD64-AG64),1)</f>
        <v>-123.5</v>
      </c>
      <c r="AK64" s="1544"/>
      <c r="AL64" s="2843">
        <f t="shared" ref="AL64:AL69" si="8">ROUND(IF(AG64=0,0,AJ64/ABS(AG64)),3)</f>
        <v>-4.5999999999999999E-2</v>
      </c>
    </row>
    <row r="65" spans="1:38" s="1536" customFormat="1" ht="15" customHeight="1">
      <c r="A65" s="1792"/>
      <c r="B65" s="2956" t="s">
        <v>30</v>
      </c>
      <c r="C65" s="296"/>
      <c r="D65" s="1206">
        <f t="shared" si="6"/>
        <v>479.9</v>
      </c>
      <c r="E65" s="1438"/>
      <c r="F65" s="1894"/>
      <c r="G65" s="1438"/>
      <c r="H65" s="1544"/>
      <c r="I65" s="1438"/>
      <c r="J65" s="1544"/>
      <c r="K65" s="2509"/>
      <c r="L65" s="2743"/>
      <c r="M65" s="2509"/>
      <c r="N65" s="2743"/>
      <c r="O65" s="2509"/>
      <c r="P65" s="2914"/>
      <c r="Q65" s="3314"/>
      <c r="R65" s="2914"/>
      <c r="S65" s="3314"/>
      <c r="T65" s="2914"/>
      <c r="U65" s="3314"/>
      <c r="V65" s="2914"/>
      <c r="W65" s="3314"/>
      <c r="X65" s="2914"/>
      <c r="Y65" s="3314"/>
      <c r="Z65" s="2914"/>
      <c r="AA65" s="3315"/>
      <c r="AB65" s="3316"/>
      <c r="AC65" s="3317"/>
      <c r="AD65" s="2914">
        <v>479.9</v>
      </c>
      <c r="AE65" s="3316"/>
      <c r="AF65" s="3318"/>
      <c r="AG65" s="2914">
        <v>378.6</v>
      </c>
      <c r="AH65" s="1795"/>
      <c r="AI65" s="255"/>
      <c r="AJ65" s="1544">
        <f t="shared" si="7"/>
        <v>101.3</v>
      </c>
      <c r="AK65" s="1544"/>
      <c r="AL65" s="2843">
        <f t="shared" si="8"/>
        <v>0.26800000000000002</v>
      </c>
    </row>
    <row r="66" spans="1:38" s="1536" customFormat="1" ht="15" customHeight="1">
      <c r="A66" s="1792"/>
      <c r="B66" s="2956" t="s">
        <v>31</v>
      </c>
      <c r="C66" s="296"/>
      <c r="D66" s="1206">
        <f t="shared" si="6"/>
        <v>64.599999999999994</v>
      </c>
      <c r="E66" s="1438"/>
      <c r="F66" s="1894"/>
      <c r="G66" s="1438"/>
      <c r="H66" s="1544"/>
      <c r="I66" s="1438"/>
      <c r="J66" s="1544"/>
      <c r="K66" s="2509"/>
      <c r="L66" s="2743"/>
      <c r="M66" s="2509"/>
      <c r="N66" s="2743"/>
      <c r="O66" s="2509"/>
      <c r="P66" s="2914"/>
      <c r="Q66" s="3314"/>
      <c r="R66" s="2914"/>
      <c r="S66" s="3314"/>
      <c r="T66" s="2914"/>
      <c r="U66" s="3314"/>
      <c r="V66" s="2914"/>
      <c r="W66" s="3314"/>
      <c r="X66" s="2914"/>
      <c r="Y66" s="3314"/>
      <c r="Z66" s="2914"/>
      <c r="AA66" s="3315"/>
      <c r="AB66" s="3316"/>
      <c r="AC66" s="3317"/>
      <c r="AD66" s="2914">
        <v>64.599999999999994</v>
      </c>
      <c r="AE66" s="3316"/>
      <c r="AF66" s="3318"/>
      <c r="AG66" s="2914">
        <v>119.8</v>
      </c>
      <c r="AH66" s="1795"/>
      <c r="AI66" s="255"/>
      <c r="AJ66" s="1544">
        <f t="shared" si="7"/>
        <v>-55.2</v>
      </c>
      <c r="AK66" s="1544"/>
      <c r="AL66" s="2843">
        <f t="shared" si="8"/>
        <v>-0.46100000000000002</v>
      </c>
    </row>
    <row r="67" spans="1:38" s="1536" customFormat="1" ht="15" customHeight="1">
      <c r="A67" s="1792"/>
      <c r="B67" s="2956" t="s">
        <v>32</v>
      </c>
      <c r="C67" s="296"/>
      <c r="D67" s="1206">
        <f t="shared" si="6"/>
        <v>266.2</v>
      </c>
      <c r="E67" s="1438"/>
      <c r="F67" s="1894"/>
      <c r="G67" s="1438"/>
      <c r="H67" s="1544"/>
      <c r="I67" s="1438"/>
      <c r="J67" s="1544"/>
      <c r="K67" s="2509"/>
      <c r="L67" s="2743"/>
      <c r="M67" s="2509"/>
      <c r="N67" s="2743"/>
      <c r="O67" s="2509"/>
      <c r="P67" s="2914"/>
      <c r="Q67" s="3314"/>
      <c r="R67" s="2914"/>
      <c r="S67" s="3314"/>
      <c r="T67" s="2914"/>
      <c r="U67" s="3314"/>
      <c r="V67" s="2914"/>
      <c r="W67" s="3314"/>
      <c r="X67" s="2914"/>
      <c r="Y67" s="3314"/>
      <c r="Z67" s="2914"/>
      <c r="AA67" s="3315"/>
      <c r="AB67" s="3316"/>
      <c r="AC67" s="3317"/>
      <c r="AD67" s="2914">
        <v>266.2</v>
      </c>
      <c r="AE67" s="3316"/>
      <c r="AF67" s="3318"/>
      <c r="AG67" s="2914">
        <v>266.60000000000002</v>
      </c>
      <c r="AH67" s="1795"/>
      <c r="AI67" s="255"/>
      <c r="AJ67" s="1544">
        <f t="shared" si="7"/>
        <v>-0.4</v>
      </c>
      <c r="AK67" s="1544"/>
      <c r="AL67" s="2843">
        <f t="shared" si="8"/>
        <v>-2E-3</v>
      </c>
    </row>
    <row r="68" spans="1:38" s="1536" customFormat="1" ht="15" customHeight="1">
      <c r="A68" s="1792"/>
      <c r="B68" s="2956" t="s">
        <v>33</v>
      </c>
      <c r="C68" s="296"/>
      <c r="D68" s="1206">
        <f t="shared" si="6"/>
        <v>0</v>
      </c>
      <c r="E68" s="1438"/>
      <c r="F68" s="1894"/>
      <c r="G68" s="1438"/>
      <c r="H68" s="1544"/>
      <c r="I68" s="1438"/>
      <c r="J68" s="1544"/>
      <c r="K68" s="2509"/>
      <c r="L68" s="2743"/>
      <c r="M68" s="2509"/>
      <c r="N68" s="2743"/>
      <c r="O68" s="2509"/>
      <c r="P68" s="2914"/>
      <c r="Q68" s="3314"/>
      <c r="R68" s="2914"/>
      <c r="S68" s="3314"/>
      <c r="T68" s="2914"/>
      <c r="U68" s="3314"/>
      <c r="V68" s="2914"/>
      <c r="W68" s="3314"/>
      <c r="X68" s="2914"/>
      <c r="Y68" s="3314"/>
      <c r="Z68" s="2914"/>
      <c r="AA68" s="3315"/>
      <c r="AB68" s="3316"/>
      <c r="AC68" s="3317"/>
      <c r="AD68" s="2914">
        <v>0</v>
      </c>
      <c r="AE68" s="3316"/>
      <c r="AF68" s="3318"/>
      <c r="AG68" s="2914">
        <v>0</v>
      </c>
      <c r="AH68" s="1795"/>
      <c r="AI68" s="255"/>
      <c r="AJ68" s="1544">
        <f t="shared" si="7"/>
        <v>0</v>
      </c>
      <c r="AK68" s="1544"/>
      <c r="AL68" s="2843">
        <f t="shared" si="8"/>
        <v>0</v>
      </c>
    </row>
    <row r="69" spans="1:38" s="1536" customFormat="1" ht="15" customHeight="1">
      <c r="A69" s="1792"/>
      <c r="B69" s="2956" t="s">
        <v>34</v>
      </c>
      <c r="C69" s="296"/>
      <c r="D69" s="1206">
        <f t="shared" si="6"/>
        <v>2.6999999999999997</v>
      </c>
      <c r="E69" s="1438"/>
      <c r="F69" s="1894"/>
      <c r="G69" s="1438"/>
      <c r="H69" s="1544"/>
      <c r="I69" s="1438"/>
      <c r="J69" s="1544"/>
      <c r="K69" s="2509"/>
      <c r="L69" s="2743"/>
      <c r="M69" s="2509"/>
      <c r="N69" s="2743"/>
      <c r="O69" s="2509"/>
      <c r="P69" s="2914"/>
      <c r="Q69" s="3314"/>
      <c r="R69" s="2914"/>
      <c r="S69" s="3314"/>
      <c r="T69" s="2914"/>
      <c r="U69" s="3314"/>
      <c r="V69" s="2914"/>
      <c r="W69" s="3314"/>
      <c r="X69" s="2914"/>
      <c r="Y69" s="3314"/>
      <c r="Z69" s="2914"/>
      <c r="AA69" s="3315"/>
      <c r="AB69" s="3316"/>
      <c r="AC69" s="3317"/>
      <c r="AD69" s="2914">
        <v>2.6999999999999997</v>
      </c>
      <c r="AE69" s="3316"/>
      <c r="AF69" s="3318"/>
      <c r="AG69" s="2914">
        <v>7</v>
      </c>
      <c r="AH69" s="1795"/>
      <c r="AI69" s="255"/>
      <c r="AJ69" s="1544">
        <f t="shared" si="7"/>
        <v>-4.3</v>
      </c>
      <c r="AK69" s="1740"/>
      <c r="AL69" s="2955">
        <f t="shared" si="8"/>
        <v>-0.61399999999999999</v>
      </c>
    </row>
    <row r="70" spans="1:38" ht="15" customHeight="1">
      <c r="A70" s="340"/>
      <c r="B70" s="216" t="s">
        <v>1307</v>
      </c>
      <c r="C70" s="218"/>
      <c r="D70" s="517">
        <f>ROUND(SUM(D60:D69),2)</f>
        <v>3772.5</v>
      </c>
      <c r="E70" s="397"/>
      <c r="F70" s="517">
        <f>ROUND(SUM(F60:F69),2)</f>
        <v>0</v>
      </c>
      <c r="G70" s="356"/>
      <c r="H70" s="517">
        <f>ROUND(SUM(H60:H69),2)</f>
        <v>0</v>
      </c>
      <c r="I70" s="397"/>
      <c r="J70" s="517">
        <f>ROUND(SUM(J60:J69),2)</f>
        <v>0</v>
      </c>
      <c r="K70" s="397"/>
      <c r="L70" s="517">
        <f>ROUND(SUM(L60:L69),2)</f>
        <v>0</v>
      </c>
      <c r="M70" s="397"/>
      <c r="N70" s="517">
        <f>ROUND(SUM(N60:N69),2)</f>
        <v>0</v>
      </c>
      <c r="O70" s="397"/>
      <c r="P70" s="3332">
        <f>ROUND(SUM(P60:P69),2)</f>
        <v>0</v>
      </c>
      <c r="Q70" s="3326"/>
      <c r="R70" s="3332">
        <f>ROUND(SUM(R60:R69),2)</f>
        <v>0</v>
      </c>
      <c r="S70" s="3326"/>
      <c r="T70" s="3332">
        <f>ROUND(SUM(T60:T69),2)</f>
        <v>0</v>
      </c>
      <c r="U70" s="3326"/>
      <c r="V70" s="3579">
        <f>ROUND(SUM(V60:V69),2)</f>
        <v>0</v>
      </c>
      <c r="W70" s="3380"/>
      <c r="X70" s="3579">
        <f>ROUND(SUM(X60:X69),2)</f>
        <v>0</v>
      </c>
      <c r="Y70" s="3380"/>
      <c r="Z70" s="3579">
        <f>ROUND(SUM(Z60:Z69),2)</f>
        <v>0</v>
      </c>
      <c r="AA70" s="2349"/>
      <c r="AB70" s="3580"/>
      <c r="AC70" s="3581"/>
      <c r="AD70" s="3333">
        <f>ROUND(SUM(AD60:AD69),1)</f>
        <v>3772.5</v>
      </c>
      <c r="AE70" s="2349"/>
      <c r="AF70" s="3582"/>
      <c r="AG70" s="3333">
        <f>ROUND(SUM(AG60:AG69),1)</f>
        <v>3737.6</v>
      </c>
      <c r="AH70" s="2967"/>
      <c r="AI70" s="304"/>
      <c r="AJ70" s="300">
        <f>ROUND(SUM(AD70-AG70),1)</f>
        <v>34.9</v>
      </c>
      <c r="AK70" s="3583"/>
      <c r="AL70" s="3584">
        <f>ROUND(SUM((AD70-AG70)/ABS(AG70)),3)</f>
        <v>8.9999999999999993E-3</v>
      </c>
    </row>
    <row r="71" spans="1:38" s="1536" customFormat="1" ht="15" customHeight="1">
      <c r="A71" s="1792"/>
      <c r="B71" s="296" t="s">
        <v>154</v>
      </c>
      <c r="C71" s="296"/>
      <c r="D71" s="1438"/>
      <c r="E71" s="1438"/>
      <c r="F71" s="2502"/>
      <c r="G71" s="1438"/>
      <c r="H71" s="2502"/>
      <c r="I71" s="1438"/>
      <c r="J71" s="2502"/>
      <c r="K71" s="329"/>
      <c r="L71" s="307"/>
      <c r="M71" s="329"/>
      <c r="N71" s="307"/>
      <c r="O71" s="329"/>
      <c r="P71" s="3311"/>
      <c r="Q71" s="3307"/>
      <c r="R71" s="3311"/>
      <c r="S71" s="3307"/>
      <c r="T71" s="3311"/>
      <c r="U71" s="3307"/>
      <c r="V71" s="3311"/>
      <c r="W71" s="3311"/>
      <c r="X71" s="3311"/>
      <c r="Y71" s="3311"/>
      <c r="Z71" s="3311"/>
      <c r="AA71" s="3311"/>
      <c r="AB71" s="3307"/>
      <c r="AC71" s="3312"/>
      <c r="AD71" s="3307"/>
      <c r="AE71" s="3334"/>
      <c r="AF71" s="3335"/>
      <c r="AG71" s="3307"/>
      <c r="AH71" s="2952"/>
      <c r="AI71" s="1827"/>
      <c r="AJ71" s="2953"/>
      <c r="AK71" s="2953"/>
      <c r="AL71" s="2954"/>
    </row>
    <row r="72" spans="1:38" s="1536" customFormat="1" ht="15" customHeight="1">
      <c r="A72" s="1792"/>
      <c r="B72" s="296" t="s">
        <v>155</v>
      </c>
      <c r="C72" s="296"/>
      <c r="D72" s="1206">
        <f t="shared" ref="D72:D75" si="9">$AD72</f>
        <v>51.7</v>
      </c>
      <c r="E72" s="1438"/>
      <c r="F72" s="1894"/>
      <c r="G72" s="1438"/>
      <c r="H72" s="1544"/>
      <c r="I72" s="1438"/>
      <c r="J72" s="1544"/>
      <c r="K72" s="2509"/>
      <c r="L72" s="2743"/>
      <c r="M72" s="2509"/>
      <c r="N72" s="2743"/>
      <c r="O72" s="2509"/>
      <c r="P72" s="2914"/>
      <c r="Q72" s="3314"/>
      <c r="R72" s="2914"/>
      <c r="S72" s="3314"/>
      <c r="T72" s="2914"/>
      <c r="U72" s="3314"/>
      <c r="V72" s="2914"/>
      <c r="W72" s="3314"/>
      <c r="X72" s="2914"/>
      <c r="Y72" s="3314"/>
      <c r="Z72" s="2914"/>
      <c r="AA72" s="3315"/>
      <c r="AB72" s="3316"/>
      <c r="AC72" s="3317"/>
      <c r="AD72" s="2914">
        <v>51.7</v>
      </c>
      <c r="AE72" s="3316"/>
      <c r="AF72" s="3318"/>
      <c r="AG72" s="2914">
        <v>50.2</v>
      </c>
      <c r="AH72" s="1795"/>
      <c r="AI72" s="255"/>
      <c r="AJ72" s="1544">
        <f>ROUND(SUM(+AD72-AG72),1)</f>
        <v>1.5</v>
      </c>
      <c r="AK72" s="1544"/>
      <c r="AL72" s="2843">
        <f>ROUND(IF(AG72=0,0,AJ72/ABS(AG72)),3)</f>
        <v>0.03</v>
      </c>
    </row>
    <row r="73" spans="1:38" s="1536" customFormat="1" ht="15" customHeight="1">
      <c r="A73" s="1792"/>
      <c r="B73" s="296" t="s">
        <v>182</v>
      </c>
      <c r="C73" s="296"/>
      <c r="D73" s="1206">
        <f t="shared" si="9"/>
        <v>69.7</v>
      </c>
      <c r="E73" s="1438"/>
      <c r="F73" s="1894"/>
      <c r="G73" s="1438"/>
      <c r="H73" s="1544"/>
      <c r="I73" s="1438"/>
      <c r="J73" s="1544"/>
      <c r="K73" s="2509"/>
      <c r="L73" s="2743"/>
      <c r="M73" s="2509"/>
      <c r="N73" s="2743"/>
      <c r="O73" s="2509"/>
      <c r="P73" s="2914"/>
      <c r="Q73" s="3314"/>
      <c r="R73" s="2914"/>
      <c r="S73" s="3314"/>
      <c r="T73" s="2914"/>
      <c r="U73" s="3314"/>
      <c r="V73" s="2914"/>
      <c r="W73" s="3314"/>
      <c r="X73" s="2914"/>
      <c r="Y73" s="3314"/>
      <c r="Z73" s="2914"/>
      <c r="AA73" s="3315"/>
      <c r="AB73" s="3316"/>
      <c r="AC73" s="3317"/>
      <c r="AD73" s="2914">
        <v>69.7</v>
      </c>
      <c r="AE73" s="3316"/>
      <c r="AF73" s="3318"/>
      <c r="AG73" s="2914">
        <v>47.3</v>
      </c>
      <c r="AH73" s="1795"/>
      <c r="AI73" s="255"/>
      <c r="AJ73" s="1544">
        <f>ROUND(SUM(+AD73-AG73),1)</f>
        <v>22.4</v>
      </c>
      <c r="AK73" s="1544"/>
      <c r="AL73" s="2843">
        <f>ROUND(IF(AG73=0,0,AJ73/ABS(AG73)),3)</f>
        <v>0.47399999999999998</v>
      </c>
    </row>
    <row r="74" spans="1:38" s="1536" customFormat="1" ht="15" customHeight="1">
      <c r="A74" s="1792"/>
      <c r="B74" s="296" t="s">
        <v>157</v>
      </c>
      <c r="C74" s="296"/>
      <c r="D74" s="1206">
        <f t="shared" si="9"/>
        <v>39.4</v>
      </c>
      <c r="E74" s="1438"/>
      <c r="F74" s="1894"/>
      <c r="G74" s="1438"/>
      <c r="H74" s="1544"/>
      <c r="I74" s="1438"/>
      <c r="J74" s="1544"/>
      <c r="K74" s="2509"/>
      <c r="L74" s="2743"/>
      <c r="M74" s="2509"/>
      <c r="N74" s="2743"/>
      <c r="O74" s="2509"/>
      <c r="P74" s="2914"/>
      <c r="Q74" s="3314"/>
      <c r="R74" s="2914"/>
      <c r="S74" s="3314"/>
      <c r="T74" s="2914"/>
      <c r="U74" s="3314"/>
      <c r="V74" s="2914"/>
      <c r="W74" s="3314"/>
      <c r="X74" s="2914"/>
      <c r="Y74" s="3314"/>
      <c r="Z74" s="2914"/>
      <c r="AA74" s="3315"/>
      <c r="AB74" s="3316"/>
      <c r="AC74" s="3317"/>
      <c r="AD74" s="2914">
        <v>39.4</v>
      </c>
      <c r="AE74" s="3316"/>
      <c r="AF74" s="3318"/>
      <c r="AG74" s="2914">
        <v>7</v>
      </c>
      <c r="AH74" s="1795"/>
      <c r="AI74" s="255"/>
      <c r="AJ74" s="1544">
        <f>ROUND(SUM(+AD74-AG74),1)</f>
        <v>32.4</v>
      </c>
      <c r="AK74" s="1544"/>
      <c r="AL74" s="2843">
        <f>ROUND(IF(AG74=0,0,AJ74/ABS(AG74)),3)</f>
        <v>4.6289999999999996</v>
      </c>
    </row>
    <row r="75" spans="1:38" s="1536" customFormat="1" ht="15" customHeight="1">
      <c r="A75" s="1792"/>
      <c r="B75" s="296" t="s">
        <v>183</v>
      </c>
      <c r="C75" s="296"/>
      <c r="D75" s="1206">
        <f t="shared" si="9"/>
        <v>0</v>
      </c>
      <c r="E75" s="1438"/>
      <c r="F75" s="1894"/>
      <c r="G75" s="1438"/>
      <c r="H75" s="1544"/>
      <c r="I75" s="1438"/>
      <c r="J75" s="1544"/>
      <c r="K75" s="2509"/>
      <c r="L75" s="2743"/>
      <c r="M75" s="2509"/>
      <c r="N75" s="2743"/>
      <c r="O75" s="2509"/>
      <c r="P75" s="2914"/>
      <c r="Q75" s="3314"/>
      <c r="R75" s="2914"/>
      <c r="S75" s="3314"/>
      <c r="T75" s="2914"/>
      <c r="U75" s="3314"/>
      <c r="V75" s="2914"/>
      <c r="W75" s="3314"/>
      <c r="X75" s="2914"/>
      <c r="Y75" s="3314"/>
      <c r="Z75" s="2914"/>
      <c r="AA75" s="3315"/>
      <c r="AB75" s="3316"/>
      <c r="AC75" s="3317"/>
      <c r="AD75" s="2914">
        <v>0</v>
      </c>
      <c r="AE75" s="3316"/>
      <c r="AF75" s="3318"/>
      <c r="AG75" s="2914">
        <v>0</v>
      </c>
      <c r="AH75" s="1795"/>
      <c r="AI75" s="255"/>
      <c r="AJ75" s="1544">
        <f>ROUND(SUM(+AD75-AG75),1)</f>
        <v>0</v>
      </c>
      <c r="AK75" s="1740"/>
      <c r="AL75" s="2955">
        <f>ROUND(IF(AG75=0,0,AJ75/ABS(AG75)),3)</f>
        <v>0</v>
      </c>
    </row>
    <row r="76" spans="1:38" ht="15" customHeight="1">
      <c r="A76" s="340"/>
      <c r="B76" s="218"/>
      <c r="C76" s="218"/>
      <c r="D76" s="3051"/>
      <c r="E76" s="1438"/>
      <c r="F76" s="1210"/>
      <c r="G76" s="1438"/>
      <c r="H76" s="1210"/>
      <c r="I76" s="1438"/>
      <c r="J76" s="1210"/>
      <c r="K76" s="355"/>
      <c r="L76" s="277"/>
      <c r="M76" s="355"/>
      <c r="N76" s="277"/>
      <c r="O76" s="355"/>
      <c r="P76" s="3321"/>
      <c r="Q76" s="2350"/>
      <c r="R76" s="3321"/>
      <c r="S76" s="2350"/>
      <c r="T76" s="3321"/>
      <c r="U76" s="2350"/>
      <c r="V76" s="3381"/>
      <c r="W76" s="3311"/>
      <c r="X76" s="3381"/>
      <c r="Y76" s="3311"/>
      <c r="Z76" s="3381"/>
      <c r="AA76" s="3290"/>
      <c r="AB76" s="3307"/>
      <c r="AC76" s="3312"/>
      <c r="AD76" s="3381"/>
      <c r="AE76" s="3290"/>
      <c r="AF76" s="3313"/>
      <c r="AG76" s="3381"/>
      <c r="AH76" s="1795"/>
      <c r="AI76" s="255"/>
      <c r="AJ76" s="1758"/>
      <c r="AK76" s="2953"/>
      <c r="AL76" s="2335"/>
    </row>
    <row r="77" spans="1:38" ht="15" customHeight="1">
      <c r="A77" s="340"/>
      <c r="B77" s="216" t="s">
        <v>158</v>
      </c>
      <c r="C77" s="218"/>
      <c r="D77" s="1587">
        <f>ROUND(SUM(D70:D75),1)</f>
        <v>3933.3</v>
      </c>
      <c r="E77" s="397"/>
      <c r="F77" s="1587">
        <f>ROUND(SUM(F70:F75),1)</f>
        <v>0</v>
      </c>
      <c r="G77" s="397"/>
      <c r="H77" s="1587">
        <f>ROUND(SUM(H70:H75),1)</f>
        <v>0</v>
      </c>
      <c r="I77" s="397"/>
      <c r="J77" s="1587">
        <f>ROUND(SUM(J70:J75),1)</f>
        <v>0</v>
      </c>
      <c r="K77" s="397"/>
      <c r="L77" s="1587">
        <f>ROUND(SUM(L70:L75),1)</f>
        <v>0</v>
      </c>
      <c r="M77" s="397"/>
      <c r="N77" s="1587">
        <f>ROUND(SUM(N70:N75),1)</f>
        <v>0</v>
      </c>
      <c r="O77" s="397"/>
      <c r="P77" s="2348">
        <f>ROUND(SUM(P70:P75),1)</f>
        <v>0</v>
      </c>
      <c r="Q77" s="3326"/>
      <c r="R77" s="2348">
        <f>ROUND(SUM(R70:R75),1)</f>
        <v>0</v>
      </c>
      <c r="S77" s="3326"/>
      <c r="T77" s="2348">
        <f>ROUND(SUM(T70:T75),1)</f>
        <v>0</v>
      </c>
      <c r="U77" s="3326"/>
      <c r="V77" s="3380">
        <f>ROUND(SUM(V70:V75),1)</f>
        <v>0</v>
      </c>
      <c r="W77" s="3380"/>
      <c r="X77" s="3380">
        <f>ROUND(SUM(X70:X75),1)</f>
        <v>0</v>
      </c>
      <c r="Y77" s="3380"/>
      <c r="Z77" s="3380">
        <f>ROUND(SUM(Z70:Z75),1)</f>
        <v>0</v>
      </c>
      <c r="AA77" s="3380"/>
      <c r="AB77" s="3580"/>
      <c r="AC77" s="3581"/>
      <c r="AD77" s="3380">
        <f>ROUND(SUM(AD70:AD75),1)</f>
        <v>3933.3</v>
      </c>
      <c r="AE77" s="2349"/>
      <c r="AF77" s="3582"/>
      <c r="AG77" s="3380">
        <f>ROUND(SUM(AG70:AG75),1)</f>
        <v>3842.1</v>
      </c>
      <c r="AH77" s="2967"/>
      <c r="AI77" s="304"/>
      <c r="AJ77" s="309">
        <f>ROUND(SUM(AD77-AG77),1)</f>
        <v>91.2</v>
      </c>
      <c r="AK77" s="3585"/>
      <c r="AL77" s="3586">
        <f>ROUND(SUM((AD77-AG77)/ABS(AG77)),3)</f>
        <v>2.4E-2</v>
      </c>
    </row>
    <row r="78" spans="1:38" ht="15" customHeight="1">
      <c r="A78" s="340"/>
      <c r="B78" s="218"/>
      <c r="C78" s="218"/>
      <c r="D78" s="3051"/>
      <c r="E78" s="1438"/>
      <c r="F78" s="1210"/>
      <c r="G78" s="1438"/>
      <c r="H78" s="1210"/>
      <c r="I78" s="1438"/>
      <c r="J78" s="1210"/>
      <c r="K78" s="355"/>
      <c r="L78" s="277"/>
      <c r="M78" s="355"/>
      <c r="N78" s="277"/>
      <c r="O78" s="355"/>
      <c r="P78" s="3321"/>
      <c r="Q78" s="2350"/>
      <c r="R78" s="3321"/>
      <c r="S78" s="2350"/>
      <c r="T78" s="3321"/>
      <c r="U78" s="2350"/>
      <c r="V78" s="3381"/>
      <c r="W78" s="3311"/>
      <c r="X78" s="3381"/>
      <c r="Y78" s="3311"/>
      <c r="Z78" s="3381"/>
      <c r="AA78" s="3290"/>
      <c r="AB78" s="3307"/>
      <c r="AC78" s="3312"/>
      <c r="AD78" s="3381"/>
      <c r="AE78" s="3290"/>
      <c r="AF78" s="3313"/>
      <c r="AG78" s="3381"/>
      <c r="AH78" s="1795"/>
      <c r="AI78" s="1822"/>
      <c r="AJ78" s="1206"/>
      <c r="AK78" s="2953"/>
      <c r="AL78" s="2954"/>
    </row>
    <row r="79" spans="1:38" ht="15" customHeight="1">
      <c r="A79" s="340"/>
      <c r="B79" s="216" t="s">
        <v>159</v>
      </c>
      <c r="C79" s="218"/>
      <c r="D79" s="1438"/>
      <c r="E79" s="1438"/>
      <c r="F79" s="2502"/>
      <c r="G79" s="1438"/>
      <c r="H79" s="2502"/>
      <c r="I79" s="1438"/>
      <c r="J79" s="2502"/>
      <c r="K79" s="355"/>
      <c r="L79" s="254"/>
      <c r="M79" s="355"/>
      <c r="N79" s="254"/>
      <c r="O79" s="355"/>
      <c r="P79" s="3322"/>
      <c r="Q79" s="2350"/>
      <c r="R79" s="3322"/>
      <c r="S79" s="2350"/>
      <c r="T79" s="3322"/>
      <c r="U79" s="2350"/>
      <c r="V79" s="3311"/>
      <c r="W79" s="3311"/>
      <c r="X79" s="3311"/>
      <c r="Y79" s="3311"/>
      <c r="Z79" s="3311"/>
      <c r="AA79" s="3311"/>
      <c r="AB79" s="3307"/>
      <c r="AC79" s="3312"/>
      <c r="AD79" s="3290"/>
      <c r="AE79" s="3336"/>
      <c r="AF79" s="3337"/>
      <c r="AG79" s="3290"/>
      <c r="AH79" s="1795"/>
      <c r="AI79" s="3587"/>
      <c r="AJ79" s="1206"/>
      <c r="AK79" s="2953"/>
      <c r="AL79" s="2954"/>
    </row>
    <row r="80" spans="1:38" ht="15" customHeight="1">
      <c r="A80" s="340"/>
      <c r="B80" s="216" t="s">
        <v>45</v>
      </c>
      <c r="C80" s="218"/>
      <c r="D80" s="1587">
        <f>ROUND(SUM(D56-D77),1)</f>
        <v>-359.4</v>
      </c>
      <c r="E80" s="397"/>
      <c r="F80" s="1587">
        <f>ROUND(SUM(F56-F77),1)</f>
        <v>0</v>
      </c>
      <c r="G80" s="397"/>
      <c r="H80" s="1587">
        <f>ROUND(SUM(H56-H77),1)</f>
        <v>0</v>
      </c>
      <c r="I80" s="397"/>
      <c r="J80" s="1587">
        <f>ROUND(SUM(J56-J77),1)</f>
        <v>0</v>
      </c>
      <c r="K80" s="397"/>
      <c r="L80" s="1587">
        <f>ROUND(SUM(L56-L77),1)</f>
        <v>0</v>
      </c>
      <c r="M80" s="397"/>
      <c r="N80" s="1587">
        <f>ROUND(SUM(N56-N77),1)</f>
        <v>0</v>
      </c>
      <c r="O80" s="397"/>
      <c r="P80" s="2348">
        <f>ROUND(SUM(P56-P77),1)</f>
        <v>0</v>
      </c>
      <c r="Q80" s="3326"/>
      <c r="R80" s="2348">
        <f>ROUND(SUM(R56-R77),1)</f>
        <v>0</v>
      </c>
      <c r="S80" s="3326"/>
      <c r="T80" s="2348">
        <f>ROUND(SUM(T56-T77),1)</f>
        <v>0</v>
      </c>
      <c r="U80" s="3326"/>
      <c r="V80" s="3380">
        <f>ROUND(SUM(V56-V77),1)</f>
        <v>0</v>
      </c>
      <c r="W80" s="3380"/>
      <c r="X80" s="3380">
        <f>ROUND(SUM(X56-X77),1)</f>
        <v>0</v>
      </c>
      <c r="Y80" s="3380"/>
      <c r="Z80" s="3380">
        <f>ROUND(SUM(Z56-Z77),1)</f>
        <v>0</v>
      </c>
      <c r="AA80" s="3380"/>
      <c r="AB80" s="3580"/>
      <c r="AC80" s="3581"/>
      <c r="AD80" s="3380">
        <f>ROUND(SUM(AD56-AD77),1)</f>
        <v>-359.4</v>
      </c>
      <c r="AE80" s="2349"/>
      <c r="AF80" s="3582"/>
      <c r="AG80" s="3380">
        <f>ROUND(SUM(AG56-AG77),1)</f>
        <v>-491.7</v>
      </c>
      <c r="AH80" s="2967"/>
      <c r="AI80" s="304"/>
      <c r="AJ80" s="309">
        <f>ROUND(SUM(AD80-AG80),1)</f>
        <v>132.30000000000001</v>
      </c>
      <c r="AK80" s="3588"/>
      <c r="AL80" s="3586">
        <f>ROUND(SUM((AD80-AG80)/ABS(AG80)),3)</f>
        <v>0.26900000000000002</v>
      </c>
    </row>
    <row r="81" spans="1:51" ht="15" customHeight="1">
      <c r="A81" s="340"/>
      <c r="B81" s="218"/>
      <c r="C81" s="218"/>
      <c r="D81" s="3051"/>
      <c r="E81" s="1438"/>
      <c r="F81" s="1210"/>
      <c r="G81" s="1438"/>
      <c r="H81" s="1210"/>
      <c r="I81" s="1438"/>
      <c r="J81" s="1210"/>
      <c r="K81" s="355"/>
      <c r="L81" s="277"/>
      <c r="M81" s="355"/>
      <c r="N81" s="277"/>
      <c r="O81" s="355"/>
      <c r="P81" s="3321"/>
      <c r="Q81" s="2350"/>
      <c r="R81" s="3321"/>
      <c r="S81" s="2350"/>
      <c r="T81" s="3321"/>
      <c r="U81" s="2350"/>
      <c r="V81" s="3381"/>
      <c r="W81" s="3311"/>
      <c r="X81" s="3381"/>
      <c r="Y81" s="3311"/>
      <c r="Z81" s="3381"/>
      <c r="AA81" s="3290"/>
      <c r="AB81" s="3307"/>
      <c r="AC81" s="3312"/>
      <c r="AD81" s="3381"/>
      <c r="AE81" s="3290"/>
      <c r="AF81" s="3313"/>
      <c r="AG81" s="3381"/>
      <c r="AH81" s="1795"/>
      <c r="AI81" s="255"/>
      <c r="AJ81" s="1206"/>
      <c r="AK81" s="2953"/>
      <c r="AL81" s="2954"/>
    </row>
    <row r="82" spans="1:51" ht="15" customHeight="1">
      <c r="A82" s="340"/>
      <c r="B82" s="216" t="s">
        <v>46</v>
      </c>
      <c r="C82" s="218"/>
      <c r="D82" s="1438"/>
      <c r="E82" s="1438"/>
      <c r="F82" s="2502"/>
      <c r="G82" s="1438"/>
      <c r="H82" s="2502"/>
      <c r="I82" s="1438"/>
      <c r="J82" s="2502"/>
      <c r="K82" s="355"/>
      <c r="L82" s="254"/>
      <c r="M82" s="355"/>
      <c r="N82" s="254"/>
      <c r="O82" s="355"/>
      <c r="P82" s="3322"/>
      <c r="Q82" s="2350"/>
      <c r="R82" s="3322"/>
      <c r="S82" s="2350"/>
      <c r="T82" s="3322"/>
      <c r="U82" s="2350"/>
      <c r="V82" s="3311"/>
      <c r="W82" s="3311"/>
      <c r="X82" s="3311"/>
      <c r="Y82" s="3311"/>
      <c r="Z82" s="3311"/>
      <c r="AA82" s="3311"/>
      <c r="AB82" s="3307"/>
      <c r="AC82" s="3312"/>
      <c r="AD82" s="3311"/>
      <c r="AE82" s="3290"/>
      <c r="AF82" s="3313"/>
      <c r="AG82" s="3311"/>
      <c r="AH82" s="1795"/>
      <c r="AI82" s="255"/>
      <c r="AJ82" s="1206"/>
      <c r="AK82" s="2953"/>
      <c r="AL82" s="2954"/>
    </row>
    <row r="83" spans="1:51" s="1536" customFormat="1" ht="15" customHeight="1">
      <c r="A83" s="1792"/>
      <c r="B83" s="296" t="s">
        <v>184</v>
      </c>
      <c r="C83" s="296"/>
      <c r="D83" s="1206">
        <f t="shared" ref="D83:D84" si="10">$AD83</f>
        <v>0</v>
      </c>
      <c r="E83" s="1438"/>
      <c r="F83" s="1894"/>
      <c r="G83" s="1438"/>
      <c r="H83" s="1544"/>
      <c r="I83" s="1438"/>
      <c r="J83" s="1544"/>
      <c r="K83" s="2509"/>
      <c r="L83" s="2743"/>
      <c r="M83" s="2509"/>
      <c r="N83" s="2743"/>
      <c r="O83" s="2509"/>
      <c r="P83" s="2914"/>
      <c r="Q83" s="3314"/>
      <c r="R83" s="2914"/>
      <c r="S83" s="3314"/>
      <c r="T83" s="2914"/>
      <c r="U83" s="3314"/>
      <c r="V83" s="2914"/>
      <c r="W83" s="3314"/>
      <c r="X83" s="2914"/>
      <c r="Y83" s="3314"/>
      <c r="Z83" s="2914"/>
      <c r="AA83" s="3315"/>
      <c r="AB83" s="3316"/>
      <c r="AC83" s="3317"/>
      <c r="AD83" s="2914">
        <v>0</v>
      </c>
      <c r="AE83" s="3316"/>
      <c r="AF83" s="3318"/>
      <c r="AG83" s="2914">
        <v>0</v>
      </c>
      <c r="AH83" s="1795"/>
      <c r="AI83" s="255"/>
      <c r="AJ83" s="2515">
        <f>ROUND(SUM(+AD83-AG83),1)</f>
        <v>0</v>
      </c>
      <c r="AK83" s="1740"/>
      <c r="AL83" s="2843">
        <f>ROUND(IF(AG83=0,0,AJ83/ABS(AG83)),3)</f>
        <v>0</v>
      </c>
    </row>
    <row r="84" spans="1:51" s="1536" customFormat="1" ht="15" customHeight="1">
      <c r="A84" s="1792"/>
      <c r="B84" s="296" t="s">
        <v>185</v>
      </c>
      <c r="C84" s="296"/>
      <c r="D84" s="1206">
        <f t="shared" si="10"/>
        <v>-66.7</v>
      </c>
      <c r="E84" s="1438"/>
      <c r="F84" s="1894"/>
      <c r="G84" s="1438"/>
      <c r="H84" s="1544"/>
      <c r="I84" s="1438"/>
      <c r="J84" s="1544"/>
      <c r="K84" s="2509"/>
      <c r="L84" s="3218"/>
      <c r="M84" s="2509"/>
      <c r="N84" s="2743"/>
      <c r="O84" s="2509"/>
      <c r="P84" s="2914"/>
      <c r="Q84" s="3314"/>
      <c r="R84" s="2914"/>
      <c r="S84" s="3314"/>
      <c r="T84" s="2914"/>
      <c r="U84" s="3314"/>
      <c r="V84" s="2914"/>
      <c r="W84" s="3314"/>
      <c r="X84" s="2914"/>
      <c r="Y84" s="3314"/>
      <c r="Z84" s="2914"/>
      <c r="AA84" s="3315"/>
      <c r="AB84" s="3316"/>
      <c r="AC84" s="3317"/>
      <c r="AD84" s="2914">
        <v>-66.7</v>
      </c>
      <c r="AE84" s="3316"/>
      <c r="AF84" s="3318"/>
      <c r="AG84" s="3292">
        <v>-121.2</v>
      </c>
      <c r="AH84" s="1795"/>
      <c r="AI84" s="255"/>
      <c r="AJ84" s="1740">
        <f>ROUND(SUM(+AD84-AG84)*-1,1)</f>
        <v>-54.5</v>
      </c>
      <c r="AK84" s="1740"/>
      <c r="AL84" s="2843">
        <f>ROUND(IF(AG84=0,0,AJ84/ABS(AG84)),3)</f>
        <v>-0.45</v>
      </c>
    </row>
    <row r="85" spans="1:51" ht="15" customHeight="1">
      <c r="A85" s="340"/>
      <c r="B85" s="218"/>
      <c r="C85" s="218"/>
      <c r="D85" s="358"/>
      <c r="E85" s="355"/>
      <c r="F85" s="277"/>
      <c r="G85" s="355"/>
      <c r="H85" s="277"/>
      <c r="I85" s="355"/>
      <c r="J85" s="277"/>
      <c r="K85" s="355"/>
      <c r="L85" s="243"/>
      <c r="M85" s="355"/>
      <c r="N85" s="277"/>
      <c r="O85" s="355"/>
      <c r="P85" s="3321"/>
      <c r="Q85" s="2350"/>
      <c r="R85" s="3321"/>
      <c r="S85" s="2350"/>
      <c r="T85" s="3321"/>
      <c r="U85" s="2350"/>
      <c r="V85" s="3381"/>
      <c r="W85" s="3311"/>
      <c r="X85" s="3381"/>
      <c r="Y85" s="3311"/>
      <c r="Z85" s="3381"/>
      <c r="AA85" s="3290"/>
      <c r="AB85" s="3307"/>
      <c r="AC85" s="3312"/>
      <c r="AD85" s="3381"/>
      <c r="AE85" s="3290"/>
      <c r="AF85" s="3313"/>
      <c r="AG85" s="3290"/>
      <c r="AH85" s="1795"/>
      <c r="AI85" s="255"/>
      <c r="AJ85" s="3589"/>
      <c r="AK85" s="2953"/>
      <c r="AL85" s="3590"/>
    </row>
    <row r="86" spans="1:51" ht="15" customHeight="1">
      <c r="A86" s="340"/>
      <c r="B86" s="216" t="s">
        <v>1301</v>
      </c>
      <c r="C86" s="218"/>
      <c r="D86" s="250">
        <f>ROUND(SUM(D83:D85),1)</f>
        <v>-66.7</v>
      </c>
      <c r="E86" s="397"/>
      <c r="F86" s="250">
        <f>ROUND(SUM(F83:F85),1)</f>
        <v>0</v>
      </c>
      <c r="G86" s="397"/>
      <c r="H86" s="250">
        <f>ROUND(SUM(H83:H85),1)</f>
        <v>0</v>
      </c>
      <c r="I86" s="397"/>
      <c r="J86" s="250">
        <f>ROUND(SUM(J83:J85),1)</f>
        <v>0</v>
      </c>
      <c r="K86" s="397"/>
      <c r="L86" s="1587">
        <f>ROUND(SUM(L83:L85),1)</f>
        <v>0</v>
      </c>
      <c r="M86" s="397"/>
      <c r="N86" s="250">
        <f>ROUND(SUM(N83:N85),1)</f>
        <v>0</v>
      </c>
      <c r="O86" s="397"/>
      <c r="P86" s="2348">
        <f>ROUND(SUM(P83:P85),1)</f>
        <v>0</v>
      </c>
      <c r="Q86" s="3326"/>
      <c r="R86" s="2348">
        <f>ROUND(SUM(R83:R85),1)</f>
        <v>0</v>
      </c>
      <c r="S86" s="3326"/>
      <c r="T86" s="2348">
        <f>ROUND(SUM(T83:T85),1)</f>
        <v>0</v>
      </c>
      <c r="U86" s="3326"/>
      <c r="V86" s="3380">
        <f>ROUND(SUM(V83:V85),1)</f>
        <v>0</v>
      </c>
      <c r="W86" s="3380"/>
      <c r="X86" s="3380">
        <f>ROUND(SUM(X83:X85),1)</f>
        <v>0</v>
      </c>
      <c r="Y86" s="3380"/>
      <c r="Z86" s="3380">
        <f>ROUND(SUM(Z83:Z85),1)</f>
        <v>0</v>
      </c>
      <c r="AA86" s="3380"/>
      <c r="AB86" s="3580"/>
      <c r="AC86" s="3581"/>
      <c r="AD86" s="3380">
        <f>ROUND(SUM(AD83:AD85),1)</f>
        <v>-66.7</v>
      </c>
      <c r="AE86" s="2349"/>
      <c r="AF86" s="3582"/>
      <c r="AG86" s="3380">
        <f>ROUND(SUM(AG83:AG84),1)</f>
        <v>-121.2</v>
      </c>
      <c r="AH86" s="2967"/>
      <c r="AI86" s="304"/>
      <c r="AJ86" s="309">
        <f>-ROUND(SUM(AD86-AG86),1)</f>
        <v>-54.5</v>
      </c>
      <c r="AK86" s="3583"/>
      <c r="AL86" s="3586">
        <f>ROUND(SUM((AD86-AG86)/(AG86)),3)</f>
        <v>-0.45</v>
      </c>
    </row>
    <row r="87" spans="1:51" ht="15" customHeight="1">
      <c r="A87" s="340"/>
      <c r="B87" s="218"/>
      <c r="C87" s="218"/>
      <c r="D87" s="358"/>
      <c r="E87" s="355"/>
      <c r="F87" s="358"/>
      <c r="G87" s="355"/>
      <c r="H87" s="358"/>
      <c r="I87" s="355"/>
      <c r="J87" s="358"/>
      <c r="K87" s="355"/>
      <c r="L87" s="358"/>
      <c r="M87" s="355"/>
      <c r="N87" s="358"/>
      <c r="O87" s="355"/>
      <c r="P87" s="2355"/>
      <c r="Q87" s="2350"/>
      <c r="R87" s="2355"/>
      <c r="S87" s="2350"/>
      <c r="T87" s="2355"/>
      <c r="U87" s="2350"/>
      <c r="V87" s="3381"/>
      <c r="W87" s="3311"/>
      <c r="X87" s="3381"/>
      <c r="Y87" s="3311"/>
      <c r="Z87" s="3381"/>
      <c r="AA87" s="3290"/>
      <c r="AB87" s="3307"/>
      <c r="AC87" s="3312"/>
      <c r="AD87" s="3381"/>
      <c r="AE87" s="3290"/>
      <c r="AF87" s="3313"/>
      <c r="AG87" s="3381"/>
      <c r="AH87" s="1795"/>
      <c r="AI87" s="255"/>
      <c r="AJ87" s="1206"/>
      <c r="AK87" s="2953"/>
      <c r="AL87" s="2954"/>
    </row>
    <row r="88" spans="1:51" ht="15" customHeight="1">
      <c r="A88" s="340"/>
      <c r="B88" s="216" t="s">
        <v>168</v>
      </c>
      <c r="C88" s="218"/>
      <c r="D88" s="355"/>
      <c r="E88" s="355"/>
      <c r="F88" s="355"/>
      <c r="G88" s="355"/>
      <c r="H88" s="355"/>
      <c r="I88" s="355"/>
      <c r="J88" s="355"/>
      <c r="K88" s="355"/>
      <c r="L88" s="355"/>
      <c r="M88" s="355"/>
      <c r="N88" s="355"/>
      <c r="O88" s="355"/>
      <c r="P88" s="2350"/>
      <c r="Q88" s="2350"/>
      <c r="R88" s="2350"/>
      <c r="S88" s="2350"/>
      <c r="T88" s="2350"/>
      <c r="U88" s="2350"/>
      <c r="V88" s="3307"/>
      <c r="W88" s="3307"/>
      <c r="X88" s="3307"/>
      <c r="Y88" s="3307"/>
      <c r="Z88" s="3307"/>
      <c r="AA88" s="3307"/>
      <c r="AB88" s="3307"/>
      <c r="AC88" s="3312"/>
      <c r="AD88" s="3307"/>
      <c r="AE88" s="3334"/>
      <c r="AF88" s="3335"/>
      <c r="AG88" s="3307"/>
      <c r="AH88" s="2952"/>
      <c r="AI88" s="1827"/>
      <c r="AJ88" s="2953"/>
      <c r="AK88" s="2953"/>
      <c r="AL88" s="2954"/>
    </row>
    <row r="89" spans="1:51" ht="15" customHeight="1">
      <c r="A89" s="340"/>
      <c r="B89" s="216" t="s">
        <v>169</v>
      </c>
      <c r="C89" s="218"/>
      <c r="D89" s="355"/>
      <c r="E89" s="355"/>
      <c r="F89" s="355"/>
      <c r="G89" s="355"/>
      <c r="H89" s="355"/>
      <c r="I89" s="355"/>
      <c r="J89" s="355"/>
      <c r="K89" s="355"/>
      <c r="L89" s="355"/>
      <c r="M89" s="355"/>
      <c r="N89" s="355"/>
      <c r="O89" s="355"/>
      <c r="P89" s="2350"/>
      <c r="Q89" s="2350"/>
      <c r="R89" s="2350"/>
      <c r="S89" s="2350"/>
      <c r="T89" s="2350"/>
      <c r="U89" s="2350"/>
      <c r="V89" s="3307"/>
      <c r="W89" s="3307"/>
      <c r="X89" s="3307"/>
      <c r="Y89" s="3307"/>
      <c r="Z89" s="3307"/>
      <c r="AA89" s="3307"/>
      <c r="AB89" s="3307"/>
      <c r="AC89" s="3312"/>
      <c r="AD89" s="3307"/>
      <c r="AE89" s="3334"/>
      <c r="AF89" s="3335"/>
      <c r="AG89" s="3591"/>
      <c r="AH89" s="2952"/>
      <c r="AI89" s="1827"/>
      <c r="AJ89" s="2953"/>
      <c r="AK89" s="2953"/>
      <c r="AL89" s="2954"/>
    </row>
    <row r="90" spans="1:51" ht="15" customHeight="1">
      <c r="A90" s="340"/>
      <c r="B90" s="216" t="s">
        <v>1302</v>
      </c>
      <c r="C90" s="218"/>
      <c r="D90" s="1461">
        <f>ROUND(SUM(D80+D86),1)</f>
        <v>-426.1</v>
      </c>
      <c r="E90" s="355"/>
      <c r="F90" s="3391">
        <f>ROUND(SUM(F80+F86),1)</f>
        <v>0</v>
      </c>
      <c r="G90" s="355"/>
      <c r="H90" s="1461">
        <f>ROUND(SUM(H80+H86),1)</f>
        <v>0</v>
      </c>
      <c r="I90" s="243"/>
      <c r="J90" s="1461">
        <f>ROUND(SUM(J80+J86),1)</f>
        <v>0</v>
      </c>
      <c r="K90" s="243"/>
      <c r="L90" s="1461">
        <f>ROUND(SUM(L80+L86),1)</f>
        <v>0</v>
      </c>
      <c r="M90" s="243"/>
      <c r="N90" s="1461">
        <f>ROUND(SUM(N80+N86),1)</f>
        <v>0</v>
      </c>
      <c r="O90" s="243"/>
      <c r="P90" s="3339">
        <f>ROUND(SUM(P80+P86),1)</f>
        <v>0</v>
      </c>
      <c r="Q90" s="3323"/>
      <c r="R90" s="3339">
        <f>ROUND(SUM(R80+R86),1)</f>
        <v>0</v>
      </c>
      <c r="S90" s="3323"/>
      <c r="T90" s="3339">
        <f>ROUND(SUM(T80+T86),1)</f>
        <v>0</v>
      </c>
      <c r="U90" s="3323"/>
      <c r="V90" s="2590">
        <f>ROUND(SUM(V80+V86),1)</f>
        <v>0</v>
      </c>
      <c r="W90" s="3290"/>
      <c r="X90" s="2590">
        <f>ROUND(SUM(X80+X86),1)</f>
        <v>0</v>
      </c>
      <c r="Y90" s="3290"/>
      <c r="Z90" s="2590">
        <f>ROUND(SUM(Z80+Z86),1)</f>
        <v>0</v>
      </c>
      <c r="AA90" s="3290"/>
      <c r="AB90" s="3592"/>
      <c r="AC90" s="3290"/>
      <c r="AD90" s="2590">
        <f>ROUND(SUM(AD80+AD86),1)</f>
        <v>-426.1</v>
      </c>
      <c r="AE90" s="3593"/>
      <c r="AF90" s="3290"/>
      <c r="AG90" s="2590">
        <f>ROUND(SUM(AG80+AG86),1)</f>
        <v>-612.9</v>
      </c>
      <c r="AH90" s="2952"/>
      <c r="AI90" s="255"/>
      <c r="AJ90" s="1856">
        <f>ROUND(SUM(AJ80-AJ86),1)</f>
        <v>186.8</v>
      </c>
      <c r="AK90" s="1747"/>
      <c r="AL90" s="3594">
        <f>ROUND(SUM((AD90-AG90)/ABS(AG90)),3)</f>
        <v>0.30499999999999999</v>
      </c>
    </row>
    <row r="91" spans="1:51" ht="15" customHeight="1">
      <c r="A91" s="340"/>
      <c r="B91" s="218"/>
      <c r="C91" s="218"/>
      <c r="D91" s="224"/>
      <c r="E91" s="217"/>
      <c r="F91" s="224"/>
      <c r="G91" s="217"/>
      <c r="H91" s="224"/>
      <c r="I91" s="217"/>
      <c r="J91" s="224"/>
      <c r="K91" s="217"/>
      <c r="L91" s="224"/>
      <c r="M91" s="217"/>
      <c r="N91" s="224"/>
      <c r="O91" s="217"/>
      <c r="P91" s="3340"/>
      <c r="Q91" s="3341"/>
      <c r="R91" s="3340"/>
      <c r="S91" s="3341"/>
      <c r="T91" s="3338"/>
      <c r="U91" s="3341"/>
      <c r="V91" s="3595"/>
      <c r="W91" s="3596"/>
      <c r="X91" s="3595"/>
      <c r="Y91" s="3596"/>
      <c r="Z91" s="3595"/>
      <c r="AA91" s="3595"/>
      <c r="AB91" s="3596"/>
      <c r="AC91" s="3597"/>
      <c r="AD91" s="3595"/>
      <c r="AE91" s="3595"/>
      <c r="AF91" s="3597"/>
      <c r="AG91" s="3595"/>
      <c r="AH91" s="1827"/>
      <c r="AI91" s="3598"/>
      <c r="AJ91" s="3599"/>
      <c r="AK91" s="2953"/>
      <c r="AL91" s="2954" t="s">
        <v>15</v>
      </c>
    </row>
    <row r="92" spans="1:51" ht="20.25" customHeight="1" thickBot="1">
      <c r="A92" s="340"/>
      <c r="B92" s="216" t="s">
        <v>1312</v>
      </c>
      <c r="C92" s="218"/>
      <c r="D92" s="3101">
        <f>ROUND(SUM(+D13+D90),1)</f>
        <v>-132.5</v>
      </c>
      <c r="E92" s="217"/>
      <c r="F92" s="3101">
        <f>ROUND(SUM(+F13+F90),1)</f>
        <v>0</v>
      </c>
      <c r="G92" s="217"/>
      <c r="H92" s="3101">
        <f>ROUND(SUM(+H13+H90),1)</f>
        <v>0</v>
      </c>
      <c r="I92" s="217"/>
      <c r="J92" s="3101">
        <f>ROUND(SUM(+J13+J90),1)</f>
        <v>0</v>
      </c>
      <c r="K92" s="217"/>
      <c r="L92" s="3101">
        <f>ROUND(SUM(+L13+L90),1)</f>
        <v>0</v>
      </c>
      <c r="M92" s="217"/>
      <c r="N92" s="3101">
        <f>ROUND(SUM(+N13+N90),1)</f>
        <v>0</v>
      </c>
      <c r="O92" s="217"/>
      <c r="P92" s="3342">
        <f>ROUND(SUM(+P13+P90),1)</f>
        <v>0</v>
      </c>
      <c r="Q92" s="3341"/>
      <c r="R92" s="3342">
        <f>ROUND(SUM(+R13+R90),1)</f>
        <v>0</v>
      </c>
      <c r="S92" s="3341"/>
      <c r="T92" s="3342">
        <f>ROUND(SUM(+T13+T90),1)</f>
        <v>0</v>
      </c>
      <c r="U92" s="3341"/>
      <c r="V92" s="3600">
        <f>ROUND(SUM(+V13+V90),1)</f>
        <v>0</v>
      </c>
      <c r="W92" s="3596"/>
      <c r="X92" s="3600">
        <f>ROUND(SUM(+X13+X90),1)</f>
        <v>0</v>
      </c>
      <c r="Y92" s="3596"/>
      <c r="Z92" s="3600">
        <f>ROUND(SUM(+Z13+Z90),1)</f>
        <v>0</v>
      </c>
      <c r="AA92" s="3595"/>
      <c r="AB92" s="3596"/>
      <c r="AC92" s="3597"/>
      <c r="AD92" s="3600">
        <f>ROUND(SUM(+AD13+AD90),1)</f>
        <v>-132.5</v>
      </c>
      <c r="AE92" s="3595"/>
      <c r="AF92" s="3597"/>
      <c r="AG92" s="3600">
        <f>ROUND(SUM(+AG13+AG90),1)</f>
        <v>-73</v>
      </c>
      <c r="AH92" s="1827"/>
      <c r="AI92" s="3598"/>
      <c r="AJ92" s="3075">
        <f>ROUND(SUM(+AJ13+AJ90),1)</f>
        <v>-59.5</v>
      </c>
      <c r="AK92" s="2953"/>
      <c r="AL92" s="3601">
        <f>ROUND(+AJ92/ABS(AG92),3)</f>
        <v>-0.81499999999999995</v>
      </c>
    </row>
    <row r="93" spans="1:51" ht="15" customHeight="1" thickTop="1">
      <c r="B93" s="217"/>
      <c r="C93" s="217"/>
      <c r="D93" s="482"/>
      <c r="E93" s="482"/>
      <c r="F93" s="482"/>
      <c r="G93" s="482"/>
      <c r="H93" s="482"/>
      <c r="I93" s="482"/>
      <c r="J93" s="482"/>
      <c r="K93" s="482"/>
      <c r="L93" s="482"/>
      <c r="M93" s="482"/>
      <c r="N93" s="482"/>
      <c r="O93" s="482"/>
      <c r="P93" s="3343"/>
      <c r="Q93" s="3343"/>
      <c r="R93" s="3343"/>
      <c r="S93" s="3343"/>
      <c r="T93" s="3343"/>
      <c r="U93" s="3343"/>
      <c r="V93" s="3602"/>
      <c r="W93" s="3602"/>
      <c r="X93" s="3602"/>
      <c r="Y93" s="3602"/>
      <c r="Z93" s="3602"/>
      <c r="AA93" s="3602"/>
      <c r="AB93" s="3602"/>
      <c r="AC93" s="3602"/>
      <c r="AD93" s="3602"/>
      <c r="AE93" s="3602"/>
      <c r="AF93" s="3602"/>
      <c r="AG93" s="3602"/>
      <c r="AH93" s="3473"/>
      <c r="AI93" s="3473"/>
      <c r="AJ93" s="1737"/>
      <c r="AK93" s="1737"/>
      <c r="AL93" s="2972"/>
      <c r="AM93" s="518"/>
      <c r="AN93" s="518"/>
      <c r="AO93" s="518"/>
      <c r="AP93" s="518"/>
      <c r="AQ93" s="518"/>
      <c r="AR93" s="518"/>
      <c r="AS93" s="518"/>
      <c r="AT93" s="518"/>
      <c r="AU93" s="518"/>
      <c r="AV93" s="518"/>
      <c r="AW93" s="518"/>
      <c r="AX93" s="518"/>
      <c r="AY93" s="518"/>
    </row>
    <row r="94" spans="1:51" ht="15" customHeight="1">
      <c r="B94" s="1583"/>
      <c r="C94" s="217"/>
      <c r="D94" s="217"/>
      <c r="E94" s="217"/>
      <c r="F94" s="217"/>
      <c r="G94" s="217"/>
      <c r="H94" s="217"/>
      <c r="I94" s="217"/>
      <c r="J94" s="217"/>
      <c r="K94" s="217"/>
      <c r="L94" s="217"/>
      <c r="M94" s="217"/>
      <c r="N94" s="217"/>
      <c r="O94" s="217"/>
      <c r="P94" s="3341"/>
      <c r="Q94" s="3341"/>
      <c r="R94" s="3341"/>
      <c r="S94" s="3341"/>
      <c r="T94" s="3341"/>
      <c r="U94" s="3341"/>
      <c r="V94" s="3596"/>
      <c r="W94" s="3596"/>
      <c r="X94" s="3596"/>
      <c r="Y94" s="3596"/>
      <c r="Z94" s="3596"/>
      <c r="AA94" s="3596"/>
      <c r="AB94" s="3596"/>
      <c r="AC94" s="3596"/>
      <c r="AD94" s="3596"/>
      <c r="AE94" s="3596"/>
      <c r="AF94" s="3596"/>
      <c r="AG94" s="3596"/>
      <c r="AH94" s="295"/>
      <c r="AI94" s="295"/>
      <c r="AJ94" s="1537"/>
      <c r="AK94" s="1537"/>
      <c r="AL94" s="2972"/>
    </row>
    <row r="95" spans="1:51" ht="15" customHeight="1">
      <c r="B95" s="217"/>
      <c r="P95" s="3344"/>
      <c r="Q95" s="3344"/>
      <c r="R95" s="3344"/>
      <c r="S95" s="3344"/>
      <c r="T95" s="3344"/>
      <c r="U95" s="3344"/>
      <c r="V95" s="3603"/>
      <c r="W95" s="3603"/>
      <c r="X95" s="3603"/>
      <c r="Y95" s="3603"/>
      <c r="Z95" s="3603"/>
      <c r="AA95" s="3603"/>
      <c r="AB95" s="3603"/>
      <c r="AC95" s="3603"/>
      <c r="AD95" s="3603"/>
      <c r="AE95" s="3603"/>
      <c r="AF95" s="3603"/>
      <c r="AG95" s="3603"/>
      <c r="AH95" s="1536"/>
      <c r="AI95" s="1536"/>
      <c r="AJ95" s="1536"/>
      <c r="AK95" s="1536"/>
      <c r="AL95" s="3604"/>
    </row>
    <row r="96" spans="1:51" ht="15" customHeight="1">
      <c r="B96" s="217"/>
      <c r="P96" s="3344"/>
      <c r="Q96" s="3344"/>
      <c r="R96" s="3344"/>
      <c r="S96" s="3344"/>
      <c r="T96" s="3344"/>
      <c r="U96" s="3344"/>
      <c r="V96" s="3603"/>
      <c r="W96" s="3603"/>
      <c r="X96" s="3603"/>
      <c r="Y96" s="3603"/>
      <c r="Z96" s="3603"/>
      <c r="AA96" s="3603"/>
      <c r="AB96" s="3603"/>
      <c r="AC96" s="3603"/>
      <c r="AD96" s="3603"/>
      <c r="AE96" s="3603"/>
      <c r="AF96" s="3603"/>
      <c r="AG96" s="3603"/>
      <c r="AH96" s="1536"/>
      <c r="AI96" s="1536"/>
      <c r="AJ96" s="1536"/>
      <c r="AK96" s="1536"/>
      <c r="AL96" s="3604"/>
    </row>
    <row r="97" spans="16:38" ht="15" customHeight="1">
      <c r="P97" s="3344"/>
      <c r="Q97" s="3344"/>
      <c r="R97" s="3344"/>
      <c r="S97" s="3344"/>
      <c r="T97" s="3344"/>
      <c r="U97" s="3344"/>
      <c r="V97" s="3603"/>
      <c r="W97" s="3603"/>
      <c r="X97" s="3603"/>
      <c r="Y97" s="3603"/>
      <c r="Z97" s="3603"/>
      <c r="AA97" s="3603"/>
      <c r="AB97" s="3603"/>
      <c r="AC97" s="3603"/>
      <c r="AD97" s="3603"/>
      <c r="AE97" s="3603"/>
      <c r="AF97" s="3603"/>
      <c r="AG97" s="3603"/>
      <c r="AH97" s="1536"/>
      <c r="AI97" s="1536"/>
      <c r="AJ97" s="1536"/>
      <c r="AK97" s="1536"/>
      <c r="AL97" s="3604"/>
    </row>
    <row r="98" spans="16:38" ht="15" customHeight="1">
      <c r="P98" s="3344"/>
      <c r="Q98" s="3344"/>
      <c r="R98" s="3344"/>
      <c r="S98" s="3344"/>
      <c r="T98" s="3344"/>
      <c r="U98" s="3344"/>
      <c r="V98" s="3603"/>
      <c r="W98" s="3603"/>
      <c r="X98" s="3603"/>
      <c r="Y98" s="3603"/>
      <c r="Z98" s="3603"/>
      <c r="AA98" s="3603"/>
      <c r="AB98" s="3603"/>
      <c r="AC98" s="3603"/>
      <c r="AD98" s="3603"/>
      <c r="AE98" s="3603"/>
      <c r="AF98" s="3603"/>
      <c r="AG98" s="3603"/>
      <c r="AH98" s="1536"/>
      <c r="AI98" s="1536"/>
      <c r="AJ98" s="1536"/>
      <c r="AK98" s="1536"/>
      <c r="AL98" s="3604"/>
    </row>
    <row r="99" spans="16:38" ht="15" customHeight="1">
      <c r="P99" s="3344"/>
      <c r="Q99" s="3344"/>
      <c r="R99" s="3344"/>
      <c r="S99" s="3344"/>
      <c r="T99" s="3344"/>
      <c r="U99" s="3344"/>
      <c r="V99" s="3603"/>
      <c r="W99" s="3603"/>
      <c r="X99" s="3603"/>
      <c r="Y99" s="3603"/>
      <c r="Z99" s="3603"/>
      <c r="AA99" s="3603"/>
      <c r="AB99" s="3603"/>
      <c r="AC99" s="3603"/>
      <c r="AD99" s="3603"/>
      <c r="AE99" s="3603"/>
      <c r="AF99" s="3603"/>
      <c r="AG99" s="3603"/>
      <c r="AH99" s="1536"/>
      <c r="AI99" s="1536"/>
      <c r="AJ99" s="1536"/>
      <c r="AK99" s="1536"/>
      <c r="AL99" s="3604"/>
    </row>
    <row r="100" spans="16:38" ht="15" customHeight="1">
      <c r="V100" s="1536"/>
      <c r="W100" s="1536"/>
      <c r="X100" s="1536"/>
      <c r="Y100" s="1536"/>
      <c r="Z100" s="1536"/>
      <c r="AA100" s="1536"/>
      <c r="AB100" s="1536"/>
      <c r="AC100" s="1536"/>
      <c r="AD100" s="1536"/>
      <c r="AE100" s="1536"/>
      <c r="AF100" s="1536"/>
      <c r="AG100" s="1536"/>
      <c r="AH100" s="1536"/>
      <c r="AI100" s="1536"/>
      <c r="AJ100" s="1536"/>
      <c r="AK100" s="1536"/>
      <c r="AL100" s="3604"/>
    </row>
    <row r="101" spans="16:38" ht="15" customHeight="1">
      <c r="V101" s="1536"/>
      <c r="W101" s="1536"/>
      <c r="X101" s="1536"/>
      <c r="Y101" s="1536"/>
      <c r="Z101" s="1536"/>
      <c r="AA101" s="1536"/>
      <c r="AB101" s="1536"/>
      <c r="AC101" s="1536"/>
      <c r="AD101" s="1536"/>
      <c r="AE101" s="1536"/>
      <c r="AF101" s="1536"/>
      <c r="AG101" s="1536"/>
      <c r="AH101" s="1536"/>
      <c r="AI101" s="1536"/>
      <c r="AJ101" s="1536"/>
      <c r="AK101" s="1536"/>
      <c r="AL101" s="3604"/>
    </row>
    <row r="102" spans="16:38" ht="15" customHeight="1">
      <c r="V102" s="1536"/>
      <c r="W102" s="1536"/>
      <c r="X102" s="1536"/>
      <c r="Y102" s="1536"/>
      <c r="Z102" s="1536"/>
      <c r="AA102" s="1536"/>
      <c r="AB102" s="1536"/>
      <c r="AC102" s="1536"/>
      <c r="AD102" s="1536"/>
      <c r="AE102" s="1536"/>
      <c r="AF102" s="1536"/>
      <c r="AG102" s="1536"/>
      <c r="AH102" s="1536"/>
      <c r="AI102" s="1536"/>
      <c r="AJ102" s="1536"/>
      <c r="AK102" s="1536"/>
      <c r="AL102" s="3604"/>
    </row>
    <row r="103" spans="16:38" ht="15" customHeight="1">
      <c r="V103" s="1536"/>
      <c r="W103" s="1536"/>
      <c r="X103" s="1536"/>
      <c r="Y103" s="1536"/>
      <c r="Z103" s="1536"/>
      <c r="AA103" s="1536"/>
      <c r="AB103" s="1536"/>
      <c r="AC103" s="1536"/>
      <c r="AD103" s="1536"/>
      <c r="AE103" s="1536"/>
      <c r="AF103" s="1536"/>
      <c r="AG103" s="1536"/>
      <c r="AH103" s="1536"/>
      <c r="AI103" s="1536"/>
      <c r="AJ103" s="1536"/>
      <c r="AK103" s="1536"/>
      <c r="AL103" s="3604"/>
    </row>
    <row r="104" spans="16:38" ht="15" customHeight="1">
      <c r="V104" s="1536"/>
      <c r="W104" s="1536"/>
      <c r="X104" s="1536"/>
      <c r="Y104" s="1536"/>
      <c r="Z104" s="1536"/>
      <c r="AA104" s="1536"/>
      <c r="AB104" s="1536"/>
      <c r="AC104" s="1536"/>
      <c r="AD104" s="1536"/>
      <c r="AE104" s="1536"/>
      <c r="AF104" s="1536"/>
      <c r="AG104" s="1536"/>
      <c r="AH104" s="1536"/>
      <c r="AI104" s="1536"/>
      <c r="AJ104" s="1536"/>
      <c r="AK104" s="1536"/>
      <c r="AL104" s="3604"/>
    </row>
    <row r="105" spans="16:38" ht="15" customHeight="1">
      <c r="AL105" s="2336"/>
    </row>
    <row r="106" spans="16:38" ht="15" customHeight="1">
      <c r="AL106" s="2336"/>
    </row>
    <row r="107" spans="16:38" ht="15" customHeight="1">
      <c r="AL107" s="2336"/>
    </row>
    <row r="108" spans="16:38" ht="15" customHeight="1">
      <c r="AL108" s="2336"/>
    </row>
    <row r="109" spans="16:38" ht="15" customHeight="1">
      <c r="AL109" s="2336"/>
    </row>
    <row r="110" spans="16:38" ht="15" customHeight="1">
      <c r="AL110" s="2336"/>
    </row>
    <row r="111" spans="16:38" ht="15" customHeight="1">
      <c r="AL111" s="2336"/>
    </row>
    <row r="112" spans="16:38" ht="15" customHeight="1">
      <c r="AL112" s="2336"/>
    </row>
    <row r="113" spans="38:38" ht="15" customHeight="1">
      <c r="AL113" s="2336"/>
    </row>
    <row r="114" spans="38:38" ht="15" customHeight="1">
      <c r="AL114" s="2336"/>
    </row>
    <row r="115" spans="38:38" ht="15" customHeight="1">
      <c r="AL115" s="2336"/>
    </row>
    <row r="116" spans="38:38" ht="15" customHeight="1">
      <c r="AL116" s="2336"/>
    </row>
    <row r="117" spans="38:38" ht="15" customHeight="1">
      <c r="AL117" s="2336"/>
    </row>
    <row r="118" spans="38:38" ht="15" customHeight="1">
      <c r="AL118" s="2336"/>
    </row>
    <row r="119" spans="38:38" ht="15" customHeight="1">
      <c r="AL119" s="2336"/>
    </row>
    <row r="120" spans="38:38" ht="15" customHeight="1">
      <c r="AL120" s="2336"/>
    </row>
    <row r="121" spans="38:38" ht="15" customHeight="1">
      <c r="AL121" s="2336"/>
    </row>
    <row r="122" spans="38:38" ht="15" customHeight="1">
      <c r="AL122" s="2336"/>
    </row>
    <row r="123" spans="38:38" ht="15" customHeight="1">
      <c r="AL123" s="2336"/>
    </row>
    <row r="124" spans="38:38" ht="15" customHeight="1">
      <c r="AL124" s="2336"/>
    </row>
    <row r="125" spans="38:38" ht="15" customHeight="1">
      <c r="AL125" s="2336"/>
    </row>
    <row r="126" spans="38:38" ht="15" customHeight="1">
      <c r="AL126" s="2336"/>
    </row>
    <row r="127" spans="38:38" ht="15" customHeight="1">
      <c r="AL127" s="2336"/>
    </row>
    <row r="128" spans="38:38" ht="15" customHeight="1">
      <c r="AL128" s="2336"/>
    </row>
    <row r="129" spans="38:38" ht="15" customHeight="1">
      <c r="AL129" s="2336"/>
    </row>
    <row r="130" spans="38:38" ht="15" customHeight="1">
      <c r="AL130" s="2336"/>
    </row>
    <row r="131" spans="38:38" ht="15" customHeight="1">
      <c r="AL131" s="2336"/>
    </row>
    <row r="132" spans="38:38" ht="15" customHeight="1">
      <c r="AL132" s="2336"/>
    </row>
    <row r="133" spans="38:38" ht="15" customHeight="1"/>
    <row r="134" spans="38:38" ht="15" customHeight="1"/>
    <row r="135" spans="38:38" ht="15" customHeight="1"/>
    <row r="136" spans="38:38" ht="15" customHeight="1"/>
    <row r="137" spans="38:38" ht="15" customHeight="1"/>
    <row r="138" spans="38:38" ht="15" customHeight="1"/>
    <row r="139" spans="38:38" ht="15" customHeight="1"/>
    <row r="140" spans="38:38"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C9:AL9"/>
  </mergeCells>
  <pageMargins left="0.25" right="0.25" top="0.5" bottom="0.25" header="0" footer="0.25"/>
  <pageSetup scale="40" firstPageNumber="26" fitToHeight="2" orientation="landscape" useFirstPageNumber="1" r:id="rId2"/>
  <headerFooter scaleWithDoc="0" alignWithMargins="0">
    <oddFooter>&amp;C&amp;8&amp;P</oddFooter>
  </headerFooter>
  <rowBreaks count="1" manualBreakCount="1">
    <brk id="57" min="1" max="37" man="1"/>
  </rowBreaks>
  <ignoredErrors>
    <ignoredError sqref="AL16:AL18 AL20 AL33 AL40 AL53 AL57 AL55" unlockedFormula="1"/>
    <ignoredError sqref="AL62:AL67 AL48:AL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8"/>
  <sheetViews>
    <sheetView showGridLines="0" zoomScale="70" zoomScaleNormal="55" workbookViewId="0"/>
  </sheetViews>
  <sheetFormatPr defaultRowHeight="12.75"/>
  <cols>
    <col min="1" max="1" width="40.44140625" style="525" customWidth="1"/>
    <col min="2" max="2" width="10.44140625" style="525" customWidth="1"/>
    <col min="3" max="3" width="1.33203125" style="525" customWidth="1"/>
    <col min="4" max="4" width="10" style="525" customWidth="1"/>
    <col min="5" max="5" width="1.33203125" style="525" customWidth="1"/>
    <col min="6" max="6" width="9.33203125" style="524" customWidth="1"/>
    <col min="7" max="7" width="1.33203125" style="525" customWidth="1"/>
    <col min="8" max="8" width="10" style="525" customWidth="1"/>
    <col min="9" max="9" width="1.33203125" style="525" customWidth="1"/>
    <col min="10" max="10" width="9.44140625" style="525" customWidth="1"/>
    <col min="11" max="11" width="1.33203125" style="525" customWidth="1"/>
    <col min="12" max="12" width="11.33203125" style="525" customWidth="1"/>
    <col min="13" max="13" width="1.33203125" style="525" customWidth="1"/>
    <col min="14" max="14" width="10.6640625" style="525" customWidth="1"/>
    <col min="15" max="15" width="1.6640625" style="525" customWidth="1"/>
    <col min="16" max="16" width="11" style="525" customWidth="1"/>
    <col min="17" max="17" width="1.33203125" style="525" customWidth="1"/>
    <col min="18" max="18" width="10.77734375" style="525" customWidth="1"/>
    <col min="19" max="19" width="1.33203125" style="525" customWidth="1"/>
    <col min="20" max="20" width="10" style="525" customWidth="1"/>
    <col min="21" max="21" width="1.33203125" style="525" customWidth="1"/>
    <col min="22" max="22" width="12.6640625" style="525" customWidth="1"/>
    <col min="23" max="23" width="1.33203125" style="525" customWidth="1"/>
    <col min="24" max="24" width="9.88671875" style="525" customWidth="1"/>
    <col min="25" max="25" width="1.33203125" style="525" customWidth="1"/>
    <col min="26" max="26" width="0.77734375" style="525" customWidth="1"/>
    <col min="27" max="27" width="10.5546875" style="525" customWidth="1"/>
    <col min="28" max="28" width="2.21875" style="525" customWidth="1"/>
    <col min="29" max="29" width="0.88671875" style="525" customWidth="1"/>
    <col min="30" max="30" width="11" style="525" bestFit="1" customWidth="1"/>
    <col min="31" max="32" width="0.6640625" style="525" customWidth="1"/>
    <col min="33" max="33" width="9.6640625" style="525" customWidth="1"/>
    <col min="34" max="34" width="1.109375" style="525" customWidth="1"/>
    <col min="35" max="35" width="11" style="525" customWidth="1"/>
    <col min="36" max="36" width="14.5546875" style="915" customWidth="1"/>
    <col min="37" max="252" width="8.88671875" style="525"/>
    <col min="253" max="253" width="38.44140625" style="525" customWidth="1"/>
    <col min="254" max="254" width="8.5546875" style="525" customWidth="1"/>
    <col min="255" max="255" width="1.33203125" style="525" customWidth="1"/>
    <col min="256" max="256" width="8.88671875" style="525" customWidth="1"/>
    <col min="257" max="257" width="1.33203125" style="525" customWidth="1"/>
    <col min="258" max="258" width="9.33203125" style="525" customWidth="1"/>
    <col min="259" max="259" width="1.33203125" style="525" customWidth="1"/>
    <col min="260" max="260" width="10" style="525" customWidth="1"/>
    <col min="261" max="261" width="1.33203125" style="525" customWidth="1"/>
    <col min="262" max="262" width="9.109375" style="525" customWidth="1"/>
    <col min="263" max="263" width="1.33203125" style="525" customWidth="1"/>
    <col min="264" max="264" width="11.33203125" style="525" customWidth="1"/>
    <col min="265" max="265" width="1.33203125" style="525" customWidth="1"/>
    <col min="266" max="266" width="9.109375" style="525" customWidth="1"/>
    <col min="267" max="267" width="1.6640625" style="525" customWidth="1"/>
    <col min="268" max="268" width="11" style="525" customWidth="1"/>
    <col min="269" max="269" width="1.33203125" style="525" customWidth="1"/>
    <col min="270" max="270" width="10.77734375" style="525" customWidth="1"/>
    <col min="271" max="271" width="1.33203125" style="525" customWidth="1"/>
    <col min="272" max="272" width="10" style="525" customWidth="1"/>
    <col min="273" max="273" width="1.33203125" style="525" customWidth="1"/>
    <col min="274" max="274" width="9.33203125" style="525" customWidth="1"/>
    <col min="275" max="275" width="1.33203125" style="525" customWidth="1"/>
    <col min="276" max="276" width="7.77734375" style="525" customWidth="1"/>
    <col min="277" max="277" width="1.33203125" style="525" customWidth="1"/>
    <col min="278" max="278" width="0.77734375" style="525" customWidth="1"/>
    <col min="279" max="279" width="9.33203125" style="525" customWidth="1"/>
    <col min="280" max="280" width="1.33203125" style="525" customWidth="1"/>
    <col min="281" max="281" width="0.88671875" style="525" customWidth="1"/>
    <col min="282" max="282" width="9.5546875" style="525" bestFit="1" customWidth="1"/>
    <col min="283" max="284" width="0.6640625" style="525" customWidth="1"/>
    <col min="285" max="285" width="9.6640625" style="525" customWidth="1"/>
    <col min="286" max="286" width="1.109375" style="525" customWidth="1"/>
    <col min="287" max="287" width="8.5546875" style="525" customWidth="1"/>
    <col min="288" max="288" width="14.5546875" style="525" customWidth="1"/>
    <col min="289" max="289" width="10" style="525" customWidth="1"/>
    <col min="290" max="290" width="7.77734375" style="525" bestFit="1" customWidth="1"/>
    <col min="291" max="291" width="9.88671875" style="525" customWidth="1"/>
    <col min="292" max="508" width="8.88671875" style="525"/>
    <col min="509" max="509" width="38.44140625" style="525" customWidth="1"/>
    <col min="510" max="510" width="8.5546875" style="525" customWidth="1"/>
    <col min="511" max="511" width="1.33203125" style="525" customWidth="1"/>
    <col min="512" max="512" width="8.88671875" style="525" customWidth="1"/>
    <col min="513" max="513" width="1.33203125" style="525" customWidth="1"/>
    <col min="514" max="514" width="9.33203125" style="525" customWidth="1"/>
    <col min="515" max="515" width="1.33203125" style="525" customWidth="1"/>
    <col min="516" max="516" width="10" style="525" customWidth="1"/>
    <col min="517" max="517" width="1.33203125" style="525" customWidth="1"/>
    <col min="518" max="518" width="9.109375" style="525" customWidth="1"/>
    <col min="519" max="519" width="1.33203125" style="525" customWidth="1"/>
    <col min="520" max="520" width="11.33203125" style="525" customWidth="1"/>
    <col min="521" max="521" width="1.33203125" style="525" customWidth="1"/>
    <col min="522" max="522" width="9.109375" style="525" customWidth="1"/>
    <col min="523" max="523" width="1.6640625" style="525" customWidth="1"/>
    <col min="524" max="524" width="11" style="525" customWidth="1"/>
    <col min="525" max="525" width="1.33203125" style="525" customWidth="1"/>
    <col min="526" max="526" width="10.77734375" style="525" customWidth="1"/>
    <col min="527" max="527" width="1.33203125" style="525" customWidth="1"/>
    <col min="528" max="528" width="10" style="525" customWidth="1"/>
    <col min="529" max="529" width="1.33203125" style="525" customWidth="1"/>
    <col min="530" max="530" width="9.33203125" style="525" customWidth="1"/>
    <col min="531" max="531" width="1.33203125" style="525" customWidth="1"/>
    <col min="532" max="532" width="7.77734375" style="525" customWidth="1"/>
    <col min="533" max="533" width="1.33203125" style="525" customWidth="1"/>
    <col min="534" max="534" width="0.77734375" style="525" customWidth="1"/>
    <col min="535" max="535" width="9.33203125" style="525" customWidth="1"/>
    <col min="536" max="536" width="1.33203125" style="525" customWidth="1"/>
    <col min="537" max="537" width="0.88671875" style="525" customWidth="1"/>
    <col min="538" max="538" width="9.5546875" style="525" bestFit="1" customWidth="1"/>
    <col min="539" max="540" width="0.6640625" style="525" customWidth="1"/>
    <col min="541" max="541" width="9.6640625" style="525" customWidth="1"/>
    <col min="542" max="542" width="1.109375" style="525" customWidth="1"/>
    <col min="543" max="543" width="8.5546875" style="525" customWidth="1"/>
    <col min="544" max="544" width="14.5546875" style="525" customWidth="1"/>
    <col min="545" max="545" width="10" style="525" customWidth="1"/>
    <col min="546" max="546" width="7.77734375" style="525" bestFit="1" customWidth="1"/>
    <col min="547" max="547" width="9.88671875" style="525" customWidth="1"/>
    <col min="548" max="764" width="8.88671875" style="525"/>
    <col min="765" max="765" width="38.44140625" style="525" customWidth="1"/>
    <col min="766" max="766" width="8.5546875" style="525" customWidth="1"/>
    <col min="767" max="767" width="1.33203125" style="525" customWidth="1"/>
    <col min="768" max="768" width="8.88671875" style="525" customWidth="1"/>
    <col min="769" max="769" width="1.33203125" style="525" customWidth="1"/>
    <col min="770" max="770" width="9.33203125" style="525" customWidth="1"/>
    <col min="771" max="771" width="1.33203125" style="525" customWidth="1"/>
    <col min="772" max="772" width="10" style="525" customWidth="1"/>
    <col min="773" max="773" width="1.33203125" style="525" customWidth="1"/>
    <col min="774" max="774" width="9.109375" style="525" customWidth="1"/>
    <col min="775" max="775" width="1.33203125" style="525" customWidth="1"/>
    <col min="776" max="776" width="11.33203125" style="525" customWidth="1"/>
    <col min="777" max="777" width="1.33203125" style="525" customWidth="1"/>
    <col min="778" max="778" width="9.109375" style="525" customWidth="1"/>
    <col min="779" max="779" width="1.6640625" style="525" customWidth="1"/>
    <col min="780" max="780" width="11" style="525" customWidth="1"/>
    <col min="781" max="781" width="1.33203125" style="525" customWidth="1"/>
    <col min="782" max="782" width="10.77734375" style="525" customWidth="1"/>
    <col min="783" max="783" width="1.33203125" style="525" customWidth="1"/>
    <col min="784" max="784" width="10" style="525" customWidth="1"/>
    <col min="785" max="785" width="1.33203125" style="525" customWidth="1"/>
    <col min="786" max="786" width="9.33203125" style="525" customWidth="1"/>
    <col min="787" max="787" width="1.33203125" style="525" customWidth="1"/>
    <col min="788" max="788" width="7.77734375" style="525" customWidth="1"/>
    <col min="789" max="789" width="1.33203125" style="525" customWidth="1"/>
    <col min="790" max="790" width="0.77734375" style="525" customWidth="1"/>
    <col min="791" max="791" width="9.33203125" style="525" customWidth="1"/>
    <col min="792" max="792" width="1.33203125" style="525" customWidth="1"/>
    <col min="793" max="793" width="0.88671875" style="525" customWidth="1"/>
    <col min="794" max="794" width="9.5546875" style="525" bestFit="1" customWidth="1"/>
    <col min="795" max="796" width="0.6640625" style="525" customWidth="1"/>
    <col min="797" max="797" width="9.6640625" style="525" customWidth="1"/>
    <col min="798" max="798" width="1.109375" style="525" customWidth="1"/>
    <col min="799" max="799" width="8.5546875" style="525" customWidth="1"/>
    <col min="800" max="800" width="14.5546875" style="525" customWidth="1"/>
    <col min="801" max="801" width="10" style="525" customWidth="1"/>
    <col min="802" max="802" width="7.77734375" style="525" bestFit="1" customWidth="1"/>
    <col min="803" max="803" width="9.88671875" style="525" customWidth="1"/>
    <col min="804" max="1020" width="8.88671875" style="525"/>
    <col min="1021" max="1021" width="38.44140625" style="525" customWidth="1"/>
    <col min="1022" max="1022" width="8.5546875" style="525" customWidth="1"/>
    <col min="1023" max="1023" width="1.33203125" style="525" customWidth="1"/>
    <col min="1024" max="1024" width="8.88671875" style="525" customWidth="1"/>
    <col min="1025" max="1025" width="1.33203125" style="525" customWidth="1"/>
    <col min="1026" max="1026" width="9.33203125" style="525" customWidth="1"/>
    <col min="1027" max="1027" width="1.33203125" style="525" customWidth="1"/>
    <col min="1028" max="1028" width="10" style="525" customWidth="1"/>
    <col min="1029" max="1029" width="1.33203125" style="525" customWidth="1"/>
    <col min="1030" max="1030" width="9.109375" style="525" customWidth="1"/>
    <col min="1031" max="1031" width="1.33203125" style="525" customWidth="1"/>
    <col min="1032" max="1032" width="11.33203125" style="525" customWidth="1"/>
    <col min="1033" max="1033" width="1.33203125" style="525" customWidth="1"/>
    <col min="1034" max="1034" width="9.109375" style="525" customWidth="1"/>
    <col min="1035" max="1035" width="1.6640625" style="525" customWidth="1"/>
    <col min="1036" max="1036" width="11" style="525" customWidth="1"/>
    <col min="1037" max="1037" width="1.33203125" style="525" customWidth="1"/>
    <col min="1038" max="1038" width="10.77734375" style="525" customWidth="1"/>
    <col min="1039" max="1039" width="1.33203125" style="525" customWidth="1"/>
    <col min="1040" max="1040" width="10" style="525" customWidth="1"/>
    <col min="1041" max="1041" width="1.33203125" style="525" customWidth="1"/>
    <col min="1042" max="1042" width="9.33203125" style="525" customWidth="1"/>
    <col min="1043" max="1043" width="1.33203125" style="525" customWidth="1"/>
    <col min="1044" max="1044" width="7.77734375" style="525" customWidth="1"/>
    <col min="1045" max="1045" width="1.33203125" style="525" customWidth="1"/>
    <col min="1046" max="1046" width="0.77734375" style="525" customWidth="1"/>
    <col min="1047" max="1047" width="9.33203125" style="525" customWidth="1"/>
    <col min="1048" max="1048" width="1.33203125" style="525" customWidth="1"/>
    <col min="1049" max="1049" width="0.88671875" style="525" customWidth="1"/>
    <col min="1050" max="1050" width="9.5546875" style="525" bestFit="1" customWidth="1"/>
    <col min="1051" max="1052" width="0.6640625" style="525" customWidth="1"/>
    <col min="1053" max="1053" width="9.6640625" style="525" customWidth="1"/>
    <col min="1054" max="1054" width="1.109375" style="525" customWidth="1"/>
    <col min="1055" max="1055" width="8.5546875" style="525" customWidth="1"/>
    <col min="1056" max="1056" width="14.5546875" style="525" customWidth="1"/>
    <col min="1057" max="1057" width="10" style="525" customWidth="1"/>
    <col min="1058" max="1058" width="7.77734375" style="525" bestFit="1" customWidth="1"/>
    <col min="1059" max="1059" width="9.88671875" style="525" customWidth="1"/>
    <col min="1060" max="1276" width="8.88671875" style="525"/>
    <col min="1277" max="1277" width="38.44140625" style="525" customWidth="1"/>
    <col min="1278" max="1278" width="8.5546875" style="525" customWidth="1"/>
    <col min="1279" max="1279" width="1.33203125" style="525" customWidth="1"/>
    <col min="1280" max="1280" width="8.88671875" style="525" customWidth="1"/>
    <col min="1281" max="1281" width="1.33203125" style="525" customWidth="1"/>
    <col min="1282" max="1282" width="9.33203125" style="525" customWidth="1"/>
    <col min="1283" max="1283" width="1.33203125" style="525" customWidth="1"/>
    <col min="1284" max="1284" width="10" style="525" customWidth="1"/>
    <col min="1285" max="1285" width="1.33203125" style="525" customWidth="1"/>
    <col min="1286" max="1286" width="9.109375" style="525" customWidth="1"/>
    <col min="1287" max="1287" width="1.33203125" style="525" customWidth="1"/>
    <col min="1288" max="1288" width="11.33203125" style="525" customWidth="1"/>
    <col min="1289" max="1289" width="1.33203125" style="525" customWidth="1"/>
    <col min="1290" max="1290" width="9.109375" style="525" customWidth="1"/>
    <col min="1291" max="1291" width="1.6640625" style="525" customWidth="1"/>
    <col min="1292" max="1292" width="11" style="525" customWidth="1"/>
    <col min="1293" max="1293" width="1.33203125" style="525" customWidth="1"/>
    <col min="1294" max="1294" width="10.77734375" style="525" customWidth="1"/>
    <col min="1295" max="1295" width="1.33203125" style="525" customWidth="1"/>
    <col min="1296" max="1296" width="10" style="525" customWidth="1"/>
    <col min="1297" max="1297" width="1.33203125" style="525" customWidth="1"/>
    <col min="1298" max="1298" width="9.33203125" style="525" customWidth="1"/>
    <col min="1299" max="1299" width="1.33203125" style="525" customWidth="1"/>
    <col min="1300" max="1300" width="7.77734375" style="525" customWidth="1"/>
    <col min="1301" max="1301" width="1.33203125" style="525" customWidth="1"/>
    <col min="1302" max="1302" width="0.77734375" style="525" customWidth="1"/>
    <col min="1303" max="1303" width="9.33203125" style="525" customWidth="1"/>
    <col min="1304" max="1304" width="1.33203125" style="525" customWidth="1"/>
    <col min="1305" max="1305" width="0.88671875" style="525" customWidth="1"/>
    <col min="1306" max="1306" width="9.5546875" style="525" bestFit="1" customWidth="1"/>
    <col min="1307" max="1308" width="0.6640625" style="525" customWidth="1"/>
    <col min="1309" max="1309" width="9.6640625" style="525" customWidth="1"/>
    <col min="1310" max="1310" width="1.109375" style="525" customWidth="1"/>
    <col min="1311" max="1311" width="8.5546875" style="525" customWidth="1"/>
    <col min="1312" max="1312" width="14.5546875" style="525" customWidth="1"/>
    <col min="1313" max="1313" width="10" style="525" customWidth="1"/>
    <col min="1314" max="1314" width="7.77734375" style="525" bestFit="1" customWidth="1"/>
    <col min="1315" max="1315" width="9.88671875" style="525" customWidth="1"/>
    <col min="1316" max="1532" width="8.88671875" style="525"/>
    <col min="1533" max="1533" width="38.44140625" style="525" customWidth="1"/>
    <col min="1534" max="1534" width="8.5546875" style="525" customWidth="1"/>
    <col min="1535" max="1535" width="1.33203125" style="525" customWidth="1"/>
    <col min="1536" max="1536" width="8.88671875" style="525" customWidth="1"/>
    <col min="1537" max="1537" width="1.33203125" style="525" customWidth="1"/>
    <col min="1538" max="1538" width="9.33203125" style="525" customWidth="1"/>
    <col min="1539" max="1539" width="1.33203125" style="525" customWidth="1"/>
    <col min="1540" max="1540" width="10" style="525" customWidth="1"/>
    <col min="1541" max="1541" width="1.33203125" style="525" customWidth="1"/>
    <col min="1542" max="1542" width="9.109375" style="525" customWidth="1"/>
    <col min="1543" max="1543" width="1.33203125" style="525" customWidth="1"/>
    <col min="1544" max="1544" width="11.33203125" style="525" customWidth="1"/>
    <col min="1545" max="1545" width="1.33203125" style="525" customWidth="1"/>
    <col min="1546" max="1546" width="9.109375" style="525" customWidth="1"/>
    <col min="1547" max="1547" width="1.6640625" style="525" customWidth="1"/>
    <col min="1548" max="1548" width="11" style="525" customWidth="1"/>
    <col min="1549" max="1549" width="1.33203125" style="525" customWidth="1"/>
    <col min="1550" max="1550" width="10.77734375" style="525" customWidth="1"/>
    <col min="1551" max="1551" width="1.33203125" style="525" customWidth="1"/>
    <col min="1552" max="1552" width="10" style="525" customWidth="1"/>
    <col min="1553" max="1553" width="1.33203125" style="525" customWidth="1"/>
    <col min="1554" max="1554" width="9.33203125" style="525" customWidth="1"/>
    <col min="1555" max="1555" width="1.33203125" style="525" customWidth="1"/>
    <col min="1556" max="1556" width="7.77734375" style="525" customWidth="1"/>
    <col min="1557" max="1557" width="1.33203125" style="525" customWidth="1"/>
    <col min="1558" max="1558" width="0.77734375" style="525" customWidth="1"/>
    <col min="1559" max="1559" width="9.33203125" style="525" customWidth="1"/>
    <col min="1560" max="1560" width="1.33203125" style="525" customWidth="1"/>
    <col min="1561" max="1561" width="0.88671875" style="525" customWidth="1"/>
    <col min="1562" max="1562" width="9.5546875" style="525" bestFit="1" customWidth="1"/>
    <col min="1563" max="1564" width="0.6640625" style="525" customWidth="1"/>
    <col min="1565" max="1565" width="9.6640625" style="525" customWidth="1"/>
    <col min="1566" max="1566" width="1.109375" style="525" customWidth="1"/>
    <col min="1567" max="1567" width="8.5546875" style="525" customWidth="1"/>
    <col min="1568" max="1568" width="14.5546875" style="525" customWidth="1"/>
    <col min="1569" max="1569" width="10" style="525" customWidth="1"/>
    <col min="1570" max="1570" width="7.77734375" style="525" bestFit="1" customWidth="1"/>
    <col min="1571" max="1571" width="9.88671875" style="525" customWidth="1"/>
    <col min="1572" max="1788" width="8.88671875" style="525"/>
    <col min="1789" max="1789" width="38.44140625" style="525" customWidth="1"/>
    <col min="1790" max="1790" width="8.5546875" style="525" customWidth="1"/>
    <col min="1791" max="1791" width="1.33203125" style="525" customWidth="1"/>
    <col min="1792" max="1792" width="8.88671875" style="525" customWidth="1"/>
    <col min="1793" max="1793" width="1.33203125" style="525" customWidth="1"/>
    <col min="1794" max="1794" width="9.33203125" style="525" customWidth="1"/>
    <col min="1795" max="1795" width="1.33203125" style="525" customWidth="1"/>
    <col min="1796" max="1796" width="10" style="525" customWidth="1"/>
    <col min="1797" max="1797" width="1.33203125" style="525" customWidth="1"/>
    <col min="1798" max="1798" width="9.109375" style="525" customWidth="1"/>
    <col min="1799" max="1799" width="1.33203125" style="525" customWidth="1"/>
    <col min="1800" max="1800" width="11.33203125" style="525" customWidth="1"/>
    <col min="1801" max="1801" width="1.33203125" style="525" customWidth="1"/>
    <col min="1802" max="1802" width="9.109375" style="525" customWidth="1"/>
    <col min="1803" max="1803" width="1.6640625" style="525" customWidth="1"/>
    <col min="1804" max="1804" width="11" style="525" customWidth="1"/>
    <col min="1805" max="1805" width="1.33203125" style="525" customWidth="1"/>
    <col min="1806" max="1806" width="10.77734375" style="525" customWidth="1"/>
    <col min="1807" max="1807" width="1.33203125" style="525" customWidth="1"/>
    <col min="1808" max="1808" width="10" style="525" customWidth="1"/>
    <col min="1809" max="1809" width="1.33203125" style="525" customWidth="1"/>
    <col min="1810" max="1810" width="9.33203125" style="525" customWidth="1"/>
    <col min="1811" max="1811" width="1.33203125" style="525" customWidth="1"/>
    <col min="1812" max="1812" width="7.77734375" style="525" customWidth="1"/>
    <col min="1813" max="1813" width="1.33203125" style="525" customWidth="1"/>
    <col min="1814" max="1814" width="0.77734375" style="525" customWidth="1"/>
    <col min="1815" max="1815" width="9.33203125" style="525" customWidth="1"/>
    <col min="1816" max="1816" width="1.33203125" style="525" customWidth="1"/>
    <col min="1817" max="1817" width="0.88671875" style="525" customWidth="1"/>
    <col min="1818" max="1818" width="9.5546875" style="525" bestFit="1" customWidth="1"/>
    <col min="1819" max="1820" width="0.6640625" style="525" customWidth="1"/>
    <col min="1821" max="1821" width="9.6640625" style="525" customWidth="1"/>
    <col min="1822" max="1822" width="1.109375" style="525" customWidth="1"/>
    <col min="1823" max="1823" width="8.5546875" style="525" customWidth="1"/>
    <col min="1824" max="1824" width="14.5546875" style="525" customWidth="1"/>
    <col min="1825" max="1825" width="10" style="525" customWidth="1"/>
    <col min="1826" max="1826" width="7.77734375" style="525" bestFit="1" customWidth="1"/>
    <col min="1827" max="1827" width="9.88671875" style="525" customWidth="1"/>
    <col min="1828" max="2044" width="8.88671875" style="525"/>
    <col min="2045" max="2045" width="38.44140625" style="525" customWidth="1"/>
    <col min="2046" max="2046" width="8.5546875" style="525" customWidth="1"/>
    <col min="2047" max="2047" width="1.33203125" style="525" customWidth="1"/>
    <col min="2048" max="2048" width="8.88671875" style="525" customWidth="1"/>
    <col min="2049" max="2049" width="1.33203125" style="525" customWidth="1"/>
    <col min="2050" max="2050" width="9.33203125" style="525" customWidth="1"/>
    <col min="2051" max="2051" width="1.33203125" style="525" customWidth="1"/>
    <col min="2052" max="2052" width="10" style="525" customWidth="1"/>
    <col min="2053" max="2053" width="1.33203125" style="525" customWidth="1"/>
    <col min="2054" max="2054" width="9.109375" style="525" customWidth="1"/>
    <col min="2055" max="2055" width="1.33203125" style="525" customWidth="1"/>
    <col min="2056" max="2056" width="11.33203125" style="525" customWidth="1"/>
    <col min="2057" max="2057" width="1.33203125" style="525" customWidth="1"/>
    <col min="2058" max="2058" width="9.109375" style="525" customWidth="1"/>
    <col min="2059" max="2059" width="1.6640625" style="525" customWidth="1"/>
    <col min="2060" max="2060" width="11" style="525" customWidth="1"/>
    <col min="2061" max="2061" width="1.33203125" style="525" customWidth="1"/>
    <col min="2062" max="2062" width="10.77734375" style="525" customWidth="1"/>
    <col min="2063" max="2063" width="1.33203125" style="525" customWidth="1"/>
    <col min="2064" max="2064" width="10" style="525" customWidth="1"/>
    <col min="2065" max="2065" width="1.33203125" style="525" customWidth="1"/>
    <col min="2066" max="2066" width="9.33203125" style="525" customWidth="1"/>
    <col min="2067" max="2067" width="1.33203125" style="525" customWidth="1"/>
    <col min="2068" max="2068" width="7.77734375" style="525" customWidth="1"/>
    <col min="2069" max="2069" width="1.33203125" style="525" customWidth="1"/>
    <col min="2070" max="2070" width="0.77734375" style="525" customWidth="1"/>
    <col min="2071" max="2071" width="9.33203125" style="525" customWidth="1"/>
    <col min="2072" max="2072" width="1.33203125" style="525" customWidth="1"/>
    <col min="2073" max="2073" width="0.88671875" style="525" customWidth="1"/>
    <col min="2074" max="2074" width="9.5546875" style="525" bestFit="1" customWidth="1"/>
    <col min="2075" max="2076" width="0.6640625" style="525" customWidth="1"/>
    <col min="2077" max="2077" width="9.6640625" style="525" customWidth="1"/>
    <col min="2078" max="2078" width="1.109375" style="525" customWidth="1"/>
    <col min="2079" max="2079" width="8.5546875" style="525" customWidth="1"/>
    <col min="2080" max="2080" width="14.5546875" style="525" customWidth="1"/>
    <col min="2081" max="2081" width="10" style="525" customWidth="1"/>
    <col min="2082" max="2082" width="7.77734375" style="525" bestFit="1" customWidth="1"/>
    <col min="2083" max="2083" width="9.88671875" style="525" customWidth="1"/>
    <col min="2084" max="2300" width="8.88671875" style="525"/>
    <col min="2301" max="2301" width="38.44140625" style="525" customWidth="1"/>
    <col min="2302" max="2302" width="8.5546875" style="525" customWidth="1"/>
    <col min="2303" max="2303" width="1.33203125" style="525" customWidth="1"/>
    <col min="2304" max="2304" width="8.88671875" style="525" customWidth="1"/>
    <col min="2305" max="2305" width="1.33203125" style="525" customWidth="1"/>
    <col min="2306" max="2306" width="9.33203125" style="525" customWidth="1"/>
    <col min="2307" max="2307" width="1.33203125" style="525" customWidth="1"/>
    <col min="2308" max="2308" width="10" style="525" customWidth="1"/>
    <col min="2309" max="2309" width="1.33203125" style="525" customWidth="1"/>
    <col min="2310" max="2310" width="9.109375" style="525" customWidth="1"/>
    <col min="2311" max="2311" width="1.33203125" style="525" customWidth="1"/>
    <col min="2312" max="2312" width="11.33203125" style="525" customWidth="1"/>
    <col min="2313" max="2313" width="1.33203125" style="525" customWidth="1"/>
    <col min="2314" max="2314" width="9.109375" style="525" customWidth="1"/>
    <col min="2315" max="2315" width="1.6640625" style="525" customWidth="1"/>
    <col min="2316" max="2316" width="11" style="525" customWidth="1"/>
    <col min="2317" max="2317" width="1.33203125" style="525" customWidth="1"/>
    <col min="2318" max="2318" width="10.77734375" style="525" customWidth="1"/>
    <col min="2319" max="2319" width="1.33203125" style="525" customWidth="1"/>
    <col min="2320" max="2320" width="10" style="525" customWidth="1"/>
    <col min="2321" max="2321" width="1.33203125" style="525" customWidth="1"/>
    <col min="2322" max="2322" width="9.33203125" style="525" customWidth="1"/>
    <col min="2323" max="2323" width="1.33203125" style="525" customWidth="1"/>
    <col min="2324" max="2324" width="7.77734375" style="525" customWidth="1"/>
    <col min="2325" max="2325" width="1.33203125" style="525" customWidth="1"/>
    <col min="2326" max="2326" width="0.77734375" style="525" customWidth="1"/>
    <col min="2327" max="2327" width="9.33203125" style="525" customWidth="1"/>
    <col min="2328" max="2328" width="1.33203125" style="525" customWidth="1"/>
    <col min="2329" max="2329" width="0.88671875" style="525" customWidth="1"/>
    <col min="2330" max="2330" width="9.5546875" style="525" bestFit="1" customWidth="1"/>
    <col min="2331" max="2332" width="0.6640625" style="525" customWidth="1"/>
    <col min="2333" max="2333" width="9.6640625" style="525" customWidth="1"/>
    <col min="2334" max="2334" width="1.109375" style="525" customWidth="1"/>
    <col min="2335" max="2335" width="8.5546875" style="525" customWidth="1"/>
    <col min="2336" max="2336" width="14.5546875" style="525" customWidth="1"/>
    <col min="2337" max="2337" width="10" style="525" customWidth="1"/>
    <col min="2338" max="2338" width="7.77734375" style="525" bestFit="1" customWidth="1"/>
    <col min="2339" max="2339" width="9.88671875" style="525" customWidth="1"/>
    <col min="2340" max="2556" width="8.88671875" style="525"/>
    <col min="2557" max="2557" width="38.44140625" style="525" customWidth="1"/>
    <col min="2558" max="2558" width="8.5546875" style="525" customWidth="1"/>
    <col min="2559" max="2559" width="1.33203125" style="525" customWidth="1"/>
    <col min="2560" max="2560" width="8.88671875" style="525" customWidth="1"/>
    <col min="2561" max="2561" width="1.33203125" style="525" customWidth="1"/>
    <col min="2562" max="2562" width="9.33203125" style="525" customWidth="1"/>
    <col min="2563" max="2563" width="1.33203125" style="525" customWidth="1"/>
    <col min="2564" max="2564" width="10" style="525" customWidth="1"/>
    <col min="2565" max="2565" width="1.33203125" style="525" customWidth="1"/>
    <col min="2566" max="2566" width="9.109375" style="525" customWidth="1"/>
    <col min="2567" max="2567" width="1.33203125" style="525" customWidth="1"/>
    <col min="2568" max="2568" width="11.33203125" style="525" customWidth="1"/>
    <col min="2569" max="2569" width="1.33203125" style="525" customWidth="1"/>
    <col min="2570" max="2570" width="9.109375" style="525" customWidth="1"/>
    <col min="2571" max="2571" width="1.6640625" style="525" customWidth="1"/>
    <col min="2572" max="2572" width="11" style="525" customWidth="1"/>
    <col min="2573" max="2573" width="1.33203125" style="525" customWidth="1"/>
    <col min="2574" max="2574" width="10.77734375" style="525" customWidth="1"/>
    <col min="2575" max="2575" width="1.33203125" style="525" customWidth="1"/>
    <col min="2576" max="2576" width="10" style="525" customWidth="1"/>
    <col min="2577" max="2577" width="1.33203125" style="525" customWidth="1"/>
    <col min="2578" max="2578" width="9.33203125" style="525" customWidth="1"/>
    <col min="2579" max="2579" width="1.33203125" style="525" customWidth="1"/>
    <col min="2580" max="2580" width="7.77734375" style="525" customWidth="1"/>
    <col min="2581" max="2581" width="1.33203125" style="525" customWidth="1"/>
    <col min="2582" max="2582" width="0.77734375" style="525" customWidth="1"/>
    <col min="2583" max="2583" width="9.33203125" style="525" customWidth="1"/>
    <col min="2584" max="2584" width="1.33203125" style="525" customWidth="1"/>
    <col min="2585" max="2585" width="0.88671875" style="525" customWidth="1"/>
    <col min="2586" max="2586" width="9.5546875" style="525" bestFit="1" customWidth="1"/>
    <col min="2587" max="2588" width="0.6640625" style="525" customWidth="1"/>
    <col min="2589" max="2589" width="9.6640625" style="525" customWidth="1"/>
    <col min="2590" max="2590" width="1.109375" style="525" customWidth="1"/>
    <col min="2591" max="2591" width="8.5546875" style="525" customWidth="1"/>
    <col min="2592" max="2592" width="14.5546875" style="525" customWidth="1"/>
    <col min="2593" max="2593" width="10" style="525" customWidth="1"/>
    <col min="2594" max="2594" width="7.77734375" style="525" bestFit="1" customWidth="1"/>
    <col min="2595" max="2595" width="9.88671875" style="525" customWidth="1"/>
    <col min="2596" max="2812" width="8.88671875" style="525"/>
    <col min="2813" max="2813" width="38.44140625" style="525" customWidth="1"/>
    <col min="2814" max="2814" width="8.5546875" style="525" customWidth="1"/>
    <col min="2815" max="2815" width="1.33203125" style="525" customWidth="1"/>
    <col min="2816" max="2816" width="8.88671875" style="525" customWidth="1"/>
    <col min="2817" max="2817" width="1.33203125" style="525" customWidth="1"/>
    <col min="2818" max="2818" width="9.33203125" style="525" customWidth="1"/>
    <col min="2819" max="2819" width="1.33203125" style="525" customWidth="1"/>
    <col min="2820" max="2820" width="10" style="525" customWidth="1"/>
    <col min="2821" max="2821" width="1.33203125" style="525" customWidth="1"/>
    <col min="2822" max="2822" width="9.109375" style="525" customWidth="1"/>
    <col min="2823" max="2823" width="1.33203125" style="525" customWidth="1"/>
    <col min="2824" max="2824" width="11.33203125" style="525" customWidth="1"/>
    <col min="2825" max="2825" width="1.33203125" style="525" customWidth="1"/>
    <col min="2826" max="2826" width="9.109375" style="525" customWidth="1"/>
    <col min="2827" max="2827" width="1.6640625" style="525" customWidth="1"/>
    <col min="2828" max="2828" width="11" style="525" customWidth="1"/>
    <col min="2829" max="2829" width="1.33203125" style="525" customWidth="1"/>
    <col min="2830" max="2830" width="10.77734375" style="525" customWidth="1"/>
    <col min="2831" max="2831" width="1.33203125" style="525" customWidth="1"/>
    <col min="2832" max="2832" width="10" style="525" customWidth="1"/>
    <col min="2833" max="2833" width="1.33203125" style="525" customWidth="1"/>
    <col min="2834" max="2834" width="9.33203125" style="525" customWidth="1"/>
    <col min="2835" max="2835" width="1.33203125" style="525" customWidth="1"/>
    <col min="2836" max="2836" width="7.77734375" style="525" customWidth="1"/>
    <col min="2837" max="2837" width="1.33203125" style="525" customWidth="1"/>
    <col min="2838" max="2838" width="0.77734375" style="525" customWidth="1"/>
    <col min="2839" max="2839" width="9.33203125" style="525" customWidth="1"/>
    <col min="2840" max="2840" width="1.33203125" style="525" customWidth="1"/>
    <col min="2841" max="2841" width="0.88671875" style="525" customWidth="1"/>
    <col min="2842" max="2842" width="9.5546875" style="525" bestFit="1" customWidth="1"/>
    <col min="2843" max="2844" width="0.6640625" style="525" customWidth="1"/>
    <col min="2845" max="2845" width="9.6640625" style="525" customWidth="1"/>
    <col min="2846" max="2846" width="1.109375" style="525" customWidth="1"/>
    <col min="2847" max="2847" width="8.5546875" style="525" customWidth="1"/>
    <col min="2848" max="2848" width="14.5546875" style="525" customWidth="1"/>
    <col min="2849" max="2849" width="10" style="525" customWidth="1"/>
    <col min="2850" max="2850" width="7.77734375" style="525" bestFit="1" customWidth="1"/>
    <col min="2851" max="2851" width="9.88671875" style="525" customWidth="1"/>
    <col min="2852" max="3068" width="8.88671875" style="525"/>
    <col min="3069" max="3069" width="38.44140625" style="525" customWidth="1"/>
    <col min="3070" max="3070" width="8.5546875" style="525" customWidth="1"/>
    <col min="3071" max="3071" width="1.33203125" style="525" customWidth="1"/>
    <col min="3072" max="3072" width="8.88671875" style="525" customWidth="1"/>
    <col min="3073" max="3073" width="1.33203125" style="525" customWidth="1"/>
    <col min="3074" max="3074" width="9.33203125" style="525" customWidth="1"/>
    <col min="3075" max="3075" width="1.33203125" style="525" customWidth="1"/>
    <col min="3076" max="3076" width="10" style="525" customWidth="1"/>
    <col min="3077" max="3077" width="1.33203125" style="525" customWidth="1"/>
    <col min="3078" max="3078" width="9.109375" style="525" customWidth="1"/>
    <col min="3079" max="3079" width="1.33203125" style="525" customWidth="1"/>
    <col min="3080" max="3080" width="11.33203125" style="525" customWidth="1"/>
    <col min="3081" max="3081" width="1.33203125" style="525" customWidth="1"/>
    <col min="3082" max="3082" width="9.109375" style="525" customWidth="1"/>
    <col min="3083" max="3083" width="1.6640625" style="525" customWidth="1"/>
    <col min="3084" max="3084" width="11" style="525" customWidth="1"/>
    <col min="3085" max="3085" width="1.33203125" style="525" customWidth="1"/>
    <col min="3086" max="3086" width="10.77734375" style="525" customWidth="1"/>
    <col min="3087" max="3087" width="1.33203125" style="525" customWidth="1"/>
    <col min="3088" max="3088" width="10" style="525" customWidth="1"/>
    <col min="3089" max="3089" width="1.33203125" style="525" customWidth="1"/>
    <col min="3090" max="3090" width="9.33203125" style="525" customWidth="1"/>
    <col min="3091" max="3091" width="1.33203125" style="525" customWidth="1"/>
    <col min="3092" max="3092" width="7.77734375" style="525" customWidth="1"/>
    <col min="3093" max="3093" width="1.33203125" style="525" customWidth="1"/>
    <col min="3094" max="3094" width="0.77734375" style="525" customWidth="1"/>
    <col min="3095" max="3095" width="9.33203125" style="525" customWidth="1"/>
    <col min="3096" max="3096" width="1.33203125" style="525" customWidth="1"/>
    <col min="3097" max="3097" width="0.88671875" style="525" customWidth="1"/>
    <col min="3098" max="3098" width="9.5546875" style="525" bestFit="1" customWidth="1"/>
    <col min="3099" max="3100" width="0.6640625" style="525" customWidth="1"/>
    <col min="3101" max="3101" width="9.6640625" style="525" customWidth="1"/>
    <col min="3102" max="3102" width="1.109375" style="525" customWidth="1"/>
    <col min="3103" max="3103" width="8.5546875" style="525" customWidth="1"/>
    <col min="3104" max="3104" width="14.5546875" style="525" customWidth="1"/>
    <col min="3105" max="3105" width="10" style="525" customWidth="1"/>
    <col min="3106" max="3106" width="7.77734375" style="525" bestFit="1" customWidth="1"/>
    <col min="3107" max="3107" width="9.88671875" style="525" customWidth="1"/>
    <col min="3108" max="3324" width="8.88671875" style="525"/>
    <col min="3325" max="3325" width="38.44140625" style="525" customWidth="1"/>
    <col min="3326" max="3326" width="8.5546875" style="525" customWidth="1"/>
    <col min="3327" max="3327" width="1.33203125" style="525" customWidth="1"/>
    <col min="3328" max="3328" width="8.88671875" style="525" customWidth="1"/>
    <col min="3329" max="3329" width="1.33203125" style="525" customWidth="1"/>
    <col min="3330" max="3330" width="9.33203125" style="525" customWidth="1"/>
    <col min="3331" max="3331" width="1.33203125" style="525" customWidth="1"/>
    <col min="3332" max="3332" width="10" style="525" customWidth="1"/>
    <col min="3333" max="3333" width="1.33203125" style="525" customWidth="1"/>
    <col min="3334" max="3334" width="9.109375" style="525" customWidth="1"/>
    <col min="3335" max="3335" width="1.33203125" style="525" customWidth="1"/>
    <col min="3336" max="3336" width="11.33203125" style="525" customWidth="1"/>
    <col min="3337" max="3337" width="1.33203125" style="525" customWidth="1"/>
    <col min="3338" max="3338" width="9.109375" style="525" customWidth="1"/>
    <col min="3339" max="3339" width="1.6640625" style="525" customWidth="1"/>
    <col min="3340" max="3340" width="11" style="525" customWidth="1"/>
    <col min="3341" max="3341" width="1.33203125" style="525" customWidth="1"/>
    <col min="3342" max="3342" width="10.77734375" style="525" customWidth="1"/>
    <col min="3343" max="3343" width="1.33203125" style="525" customWidth="1"/>
    <col min="3344" max="3344" width="10" style="525" customWidth="1"/>
    <col min="3345" max="3345" width="1.33203125" style="525" customWidth="1"/>
    <col min="3346" max="3346" width="9.33203125" style="525" customWidth="1"/>
    <col min="3347" max="3347" width="1.33203125" style="525" customWidth="1"/>
    <col min="3348" max="3348" width="7.77734375" style="525" customWidth="1"/>
    <col min="3349" max="3349" width="1.33203125" style="525" customWidth="1"/>
    <col min="3350" max="3350" width="0.77734375" style="525" customWidth="1"/>
    <col min="3351" max="3351" width="9.33203125" style="525" customWidth="1"/>
    <col min="3352" max="3352" width="1.33203125" style="525" customWidth="1"/>
    <col min="3353" max="3353" width="0.88671875" style="525" customWidth="1"/>
    <col min="3354" max="3354" width="9.5546875" style="525" bestFit="1" customWidth="1"/>
    <col min="3355" max="3356" width="0.6640625" style="525" customWidth="1"/>
    <col min="3357" max="3357" width="9.6640625" style="525" customWidth="1"/>
    <col min="3358" max="3358" width="1.109375" style="525" customWidth="1"/>
    <col min="3359" max="3359" width="8.5546875" style="525" customWidth="1"/>
    <col min="3360" max="3360" width="14.5546875" style="525" customWidth="1"/>
    <col min="3361" max="3361" width="10" style="525" customWidth="1"/>
    <col min="3362" max="3362" width="7.77734375" style="525" bestFit="1" customWidth="1"/>
    <col min="3363" max="3363" width="9.88671875" style="525" customWidth="1"/>
    <col min="3364" max="3580" width="8.88671875" style="525"/>
    <col min="3581" max="3581" width="38.44140625" style="525" customWidth="1"/>
    <col min="3582" max="3582" width="8.5546875" style="525" customWidth="1"/>
    <col min="3583" max="3583" width="1.33203125" style="525" customWidth="1"/>
    <col min="3584" max="3584" width="8.88671875" style="525" customWidth="1"/>
    <col min="3585" max="3585" width="1.33203125" style="525" customWidth="1"/>
    <col min="3586" max="3586" width="9.33203125" style="525" customWidth="1"/>
    <col min="3587" max="3587" width="1.33203125" style="525" customWidth="1"/>
    <col min="3588" max="3588" width="10" style="525" customWidth="1"/>
    <col min="3589" max="3589" width="1.33203125" style="525" customWidth="1"/>
    <col min="3590" max="3590" width="9.109375" style="525" customWidth="1"/>
    <col min="3591" max="3591" width="1.33203125" style="525" customWidth="1"/>
    <col min="3592" max="3592" width="11.33203125" style="525" customWidth="1"/>
    <col min="3593" max="3593" width="1.33203125" style="525" customWidth="1"/>
    <col min="3594" max="3594" width="9.109375" style="525" customWidth="1"/>
    <col min="3595" max="3595" width="1.6640625" style="525" customWidth="1"/>
    <col min="3596" max="3596" width="11" style="525" customWidth="1"/>
    <col min="3597" max="3597" width="1.33203125" style="525" customWidth="1"/>
    <col min="3598" max="3598" width="10.77734375" style="525" customWidth="1"/>
    <col min="3599" max="3599" width="1.33203125" style="525" customWidth="1"/>
    <col min="3600" max="3600" width="10" style="525" customWidth="1"/>
    <col min="3601" max="3601" width="1.33203125" style="525" customWidth="1"/>
    <col min="3602" max="3602" width="9.33203125" style="525" customWidth="1"/>
    <col min="3603" max="3603" width="1.33203125" style="525" customWidth="1"/>
    <col min="3604" max="3604" width="7.77734375" style="525" customWidth="1"/>
    <col min="3605" max="3605" width="1.33203125" style="525" customWidth="1"/>
    <col min="3606" max="3606" width="0.77734375" style="525" customWidth="1"/>
    <col min="3607" max="3607" width="9.33203125" style="525" customWidth="1"/>
    <col min="3608" max="3608" width="1.33203125" style="525" customWidth="1"/>
    <col min="3609" max="3609" width="0.88671875" style="525" customWidth="1"/>
    <col min="3610" max="3610" width="9.5546875" style="525" bestFit="1" customWidth="1"/>
    <col min="3611" max="3612" width="0.6640625" style="525" customWidth="1"/>
    <col min="3613" max="3613" width="9.6640625" style="525" customWidth="1"/>
    <col min="3614" max="3614" width="1.109375" style="525" customWidth="1"/>
    <col min="3615" max="3615" width="8.5546875" style="525" customWidth="1"/>
    <col min="3616" max="3616" width="14.5546875" style="525" customWidth="1"/>
    <col min="3617" max="3617" width="10" style="525" customWidth="1"/>
    <col min="3618" max="3618" width="7.77734375" style="525" bestFit="1" customWidth="1"/>
    <col min="3619" max="3619" width="9.88671875" style="525" customWidth="1"/>
    <col min="3620" max="3836" width="8.88671875" style="525"/>
    <col min="3837" max="3837" width="38.44140625" style="525" customWidth="1"/>
    <col min="3838" max="3838" width="8.5546875" style="525" customWidth="1"/>
    <col min="3839" max="3839" width="1.33203125" style="525" customWidth="1"/>
    <col min="3840" max="3840" width="8.88671875" style="525" customWidth="1"/>
    <col min="3841" max="3841" width="1.33203125" style="525" customWidth="1"/>
    <col min="3842" max="3842" width="9.33203125" style="525" customWidth="1"/>
    <col min="3843" max="3843" width="1.33203125" style="525" customWidth="1"/>
    <col min="3844" max="3844" width="10" style="525" customWidth="1"/>
    <col min="3845" max="3845" width="1.33203125" style="525" customWidth="1"/>
    <col min="3846" max="3846" width="9.109375" style="525" customWidth="1"/>
    <col min="3847" max="3847" width="1.33203125" style="525" customWidth="1"/>
    <col min="3848" max="3848" width="11.33203125" style="525" customWidth="1"/>
    <col min="3849" max="3849" width="1.33203125" style="525" customWidth="1"/>
    <col min="3850" max="3850" width="9.109375" style="525" customWidth="1"/>
    <col min="3851" max="3851" width="1.6640625" style="525" customWidth="1"/>
    <col min="3852" max="3852" width="11" style="525" customWidth="1"/>
    <col min="3853" max="3853" width="1.33203125" style="525" customWidth="1"/>
    <col min="3854" max="3854" width="10.77734375" style="525" customWidth="1"/>
    <col min="3855" max="3855" width="1.33203125" style="525" customWidth="1"/>
    <col min="3856" max="3856" width="10" style="525" customWidth="1"/>
    <col min="3857" max="3857" width="1.33203125" style="525" customWidth="1"/>
    <col min="3858" max="3858" width="9.33203125" style="525" customWidth="1"/>
    <col min="3859" max="3859" width="1.33203125" style="525" customWidth="1"/>
    <col min="3860" max="3860" width="7.77734375" style="525" customWidth="1"/>
    <col min="3861" max="3861" width="1.33203125" style="525" customWidth="1"/>
    <col min="3862" max="3862" width="0.77734375" style="525" customWidth="1"/>
    <col min="3863" max="3863" width="9.33203125" style="525" customWidth="1"/>
    <col min="3864" max="3864" width="1.33203125" style="525" customWidth="1"/>
    <col min="3865" max="3865" width="0.88671875" style="525" customWidth="1"/>
    <col min="3866" max="3866" width="9.5546875" style="525" bestFit="1" customWidth="1"/>
    <col min="3867" max="3868" width="0.6640625" style="525" customWidth="1"/>
    <col min="3869" max="3869" width="9.6640625" style="525" customWidth="1"/>
    <col min="3870" max="3870" width="1.109375" style="525" customWidth="1"/>
    <col min="3871" max="3871" width="8.5546875" style="525" customWidth="1"/>
    <col min="3872" max="3872" width="14.5546875" style="525" customWidth="1"/>
    <col min="3873" max="3873" width="10" style="525" customWidth="1"/>
    <col min="3874" max="3874" width="7.77734375" style="525" bestFit="1" customWidth="1"/>
    <col min="3875" max="3875" width="9.88671875" style="525" customWidth="1"/>
    <col min="3876" max="4092" width="8.88671875" style="525"/>
    <col min="4093" max="4093" width="38.44140625" style="525" customWidth="1"/>
    <col min="4094" max="4094" width="8.5546875" style="525" customWidth="1"/>
    <col min="4095" max="4095" width="1.33203125" style="525" customWidth="1"/>
    <col min="4096" max="4096" width="8.88671875" style="525" customWidth="1"/>
    <col min="4097" max="4097" width="1.33203125" style="525" customWidth="1"/>
    <col min="4098" max="4098" width="9.33203125" style="525" customWidth="1"/>
    <col min="4099" max="4099" width="1.33203125" style="525" customWidth="1"/>
    <col min="4100" max="4100" width="10" style="525" customWidth="1"/>
    <col min="4101" max="4101" width="1.33203125" style="525" customWidth="1"/>
    <col min="4102" max="4102" width="9.109375" style="525" customWidth="1"/>
    <col min="4103" max="4103" width="1.33203125" style="525" customWidth="1"/>
    <col min="4104" max="4104" width="11.33203125" style="525" customWidth="1"/>
    <col min="4105" max="4105" width="1.33203125" style="525" customWidth="1"/>
    <col min="4106" max="4106" width="9.109375" style="525" customWidth="1"/>
    <col min="4107" max="4107" width="1.6640625" style="525" customWidth="1"/>
    <col min="4108" max="4108" width="11" style="525" customWidth="1"/>
    <col min="4109" max="4109" width="1.33203125" style="525" customWidth="1"/>
    <col min="4110" max="4110" width="10.77734375" style="525" customWidth="1"/>
    <col min="4111" max="4111" width="1.33203125" style="525" customWidth="1"/>
    <col min="4112" max="4112" width="10" style="525" customWidth="1"/>
    <col min="4113" max="4113" width="1.33203125" style="525" customWidth="1"/>
    <col min="4114" max="4114" width="9.33203125" style="525" customWidth="1"/>
    <col min="4115" max="4115" width="1.33203125" style="525" customWidth="1"/>
    <col min="4116" max="4116" width="7.77734375" style="525" customWidth="1"/>
    <col min="4117" max="4117" width="1.33203125" style="525" customWidth="1"/>
    <col min="4118" max="4118" width="0.77734375" style="525" customWidth="1"/>
    <col min="4119" max="4119" width="9.33203125" style="525" customWidth="1"/>
    <col min="4120" max="4120" width="1.33203125" style="525" customWidth="1"/>
    <col min="4121" max="4121" width="0.88671875" style="525" customWidth="1"/>
    <col min="4122" max="4122" width="9.5546875" style="525" bestFit="1" customWidth="1"/>
    <col min="4123" max="4124" width="0.6640625" style="525" customWidth="1"/>
    <col min="4125" max="4125" width="9.6640625" style="525" customWidth="1"/>
    <col min="4126" max="4126" width="1.109375" style="525" customWidth="1"/>
    <col min="4127" max="4127" width="8.5546875" style="525" customWidth="1"/>
    <col min="4128" max="4128" width="14.5546875" style="525" customWidth="1"/>
    <col min="4129" max="4129" width="10" style="525" customWidth="1"/>
    <col min="4130" max="4130" width="7.77734375" style="525" bestFit="1" customWidth="1"/>
    <col min="4131" max="4131" width="9.88671875" style="525" customWidth="1"/>
    <col min="4132" max="4348" width="8.88671875" style="525"/>
    <col min="4349" max="4349" width="38.44140625" style="525" customWidth="1"/>
    <col min="4350" max="4350" width="8.5546875" style="525" customWidth="1"/>
    <col min="4351" max="4351" width="1.33203125" style="525" customWidth="1"/>
    <col min="4352" max="4352" width="8.88671875" style="525" customWidth="1"/>
    <col min="4353" max="4353" width="1.33203125" style="525" customWidth="1"/>
    <col min="4354" max="4354" width="9.33203125" style="525" customWidth="1"/>
    <col min="4355" max="4355" width="1.33203125" style="525" customWidth="1"/>
    <col min="4356" max="4356" width="10" style="525" customWidth="1"/>
    <col min="4357" max="4357" width="1.33203125" style="525" customWidth="1"/>
    <col min="4358" max="4358" width="9.109375" style="525" customWidth="1"/>
    <col min="4359" max="4359" width="1.33203125" style="525" customWidth="1"/>
    <col min="4360" max="4360" width="11.33203125" style="525" customWidth="1"/>
    <col min="4361" max="4361" width="1.33203125" style="525" customWidth="1"/>
    <col min="4362" max="4362" width="9.109375" style="525" customWidth="1"/>
    <col min="4363" max="4363" width="1.6640625" style="525" customWidth="1"/>
    <col min="4364" max="4364" width="11" style="525" customWidth="1"/>
    <col min="4365" max="4365" width="1.33203125" style="525" customWidth="1"/>
    <col min="4366" max="4366" width="10.77734375" style="525" customWidth="1"/>
    <col min="4367" max="4367" width="1.33203125" style="525" customWidth="1"/>
    <col min="4368" max="4368" width="10" style="525" customWidth="1"/>
    <col min="4369" max="4369" width="1.33203125" style="525" customWidth="1"/>
    <col min="4370" max="4370" width="9.33203125" style="525" customWidth="1"/>
    <col min="4371" max="4371" width="1.33203125" style="525" customWidth="1"/>
    <col min="4372" max="4372" width="7.77734375" style="525" customWidth="1"/>
    <col min="4373" max="4373" width="1.33203125" style="525" customWidth="1"/>
    <col min="4374" max="4374" width="0.77734375" style="525" customWidth="1"/>
    <col min="4375" max="4375" width="9.33203125" style="525" customWidth="1"/>
    <col min="4376" max="4376" width="1.33203125" style="525" customWidth="1"/>
    <col min="4377" max="4377" width="0.88671875" style="525" customWidth="1"/>
    <col min="4378" max="4378" width="9.5546875" style="525" bestFit="1" customWidth="1"/>
    <col min="4379" max="4380" width="0.6640625" style="525" customWidth="1"/>
    <col min="4381" max="4381" width="9.6640625" style="525" customWidth="1"/>
    <col min="4382" max="4382" width="1.109375" style="525" customWidth="1"/>
    <col min="4383" max="4383" width="8.5546875" style="525" customWidth="1"/>
    <col min="4384" max="4384" width="14.5546875" style="525" customWidth="1"/>
    <col min="4385" max="4385" width="10" style="525" customWidth="1"/>
    <col min="4386" max="4386" width="7.77734375" style="525" bestFit="1" customWidth="1"/>
    <col min="4387" max="4387" width="9.88671875" style="525" customWidth="1"/>
    <col min="4388" max="4604" width="8.88671875" style="525"/>
    <col min="4605" max="4605" width="38.44140625" style="525" customWidth="1"/>
    <col min="4606" max="4606" width="8.5546875" style="525" customWidth="1"/>
    <col min="4607" max="4607" width="1.33203125" style="525" customWidth="1"/>
    <col min="4608" max="4608" width="8.88671875" style="525" customWidth="1"/>
    <col min="4609" max="4609" width="1.33203125" style="525" customWidth="1"/>
    <col min="4610" max="4610" width="9.33203125" style="525" customWidth="1"/>
    <col min="4611" max="4611" width="1.33203125" style="525" customWidth="1"/>
    <col min="4612" max="4612" width="10" style="525" customWidth="1"/>
    <col min="4613" max="4613" width="1.33203125" style="525" customWidth="1"/>
    <col min="4614" max="4614" width="9.109375" style="525" customWidth="1"/>
    <col min="4615" max="4615" width="1.33203125" style="525" customWidth="1"/>
    <col min="4616" max="4616" width="11.33203125" style="525" customWidth="1"/>
    <col min="4617" max="4617" width="1.33203125" style="525" customWidth="1"/>
    <col min="4618" max="4618" width="9.109375" style="525" customWidth="1"/>
    <col min="4619" max="4619" width="1.6640625" style="525" customWidth="1"/>
    <col min="4620" max="4620" width="11" style="525" customWidth="1"/>
    <col min="4621" max="4621" width="1.33203125" style="525" customWidth="1"/>
    <col min="4622" max="4622" width="10.77734375" style="525" customWidth="1"/>
    <col min="4623" max="4623" width="1.33203125" style="525" customWidth="1"/>
    <col min="4624" max="4624" width="10" style="525" customWidth="1"/>
    <col min="4625" max="4625" width="1.33203125" style="525" customWidth="1"/>
    <col min="4626" max="4626" width="9.33203125" style="525" customWidth="1"/>
    <col min="4627" max="4627" width="1.33203125" style="525" customWidth="1"/>
    <col min="4628" max="4628" width="7.77734375" style="525" customWidth="1"/>
    <col min="4629" max="4629" width="1.33203125" style="525" customWidth="1"/>
    <col min="4630" max="4630" width="0.77734375" style="525" customWidth="1"/>
    <col min="4631" max="4631" width="9.33203125" style="525" customWidth="1"/>
    <col min="4632" max="4632" width="1.33203125" style="525" customWidth="1"/>
    <col min="4633" max="4633" width="0.88671875" style="525" customWidth="1"/>
    <col min="4634" max="4634" width="9.5546875" style="525" bestFit="1" customWidth="1"/>
    <col min="4635" max="4636" width="0.6640625" style="525" customWidth="1"/>
    <col min="4637" max="4637" width="9.6640625" style="525" customWidth="1"/>
    <col min="4638" max="4638" width="1.109375" style="525" customWidth="1"/>
    <col min="4639" max="4639" width="8.5546875" style="525" customWidth="1"/>
    <col min="4640" max="4640" width="14.5546875" style="525" customWidth="1"/>
    <col min="4641" max="4641" width="10" style="525" customWidth="1"/>
    <col min="4642" max="4642" width="7.77734375" style="525" bestFit="1" customWidth="1"/>
    <col min="4643" max="4643" width="9.88671875" style="525" customWidth="1"/>
    <col min="4644" max="4860" width="8.88671875" style="525"/>
    <col min="4861" max="4861" width="38.44140625" style="525" customWidth="1"/>
    <col min="4862" max="4862" width="8.5546875" style="525" customWidth="1"/>
    <col min="4863" max="4863" width="1.33203125" style="525" customWidth="1"/>
    <col min="4864" max="4864" width="8.88671875" style="525" customWidth="1"/>
    <col min="4865" max="4865" width="1.33203125" style="525" customWidth="1"/>
    <col min="4866" max="4866" width="9.33203125" style="525" customWidth="1"/>
    <col min="4867" max="4867" width="1.33203125" style="525" customWidth="1"/>
    <col min="4868" max="4868" width="10" style="525" customWidth="1"/>
    <col min="4869" max="4869" width="1.33203125" style="525" customWidth="1"/>
    <col min="4870" max="4870" width="9.109375" style="525" customWidth="1"/>
    <col min="4871" max="4871" width="1.33203125" style="525" customWidth="1"/>
    <col min="4872" max="4872" width="11.33203125" style="525" customWidth="1"/>
    <col min="4873" max="4873" width="1.33203125" style="525" customWidth="1"/>
    <col min="4874" max="4874" width="9.109375" style="525" customWidth="1"/>
    <col min="4875" max="4875" width="1.6640625" style="525" customWidth="1"/>
    <col min="4876" max="4876" width="11" style="525" customWidth="1"/>
    <col min="4877" max="4877" width="1.33203125" style="525" customWidth="1"/>
    <col min="4878" max="4878" width="10.77734375" style="525" customWidth="1"/>
    <col min="4879" max="4879" width="1.33203125" style="525" customWidth="1"/>
    <col min="4880" max="4880" width="10" style="525" customWidth="1"/>
    <col min="4881" max="4881" width="1.33203125" style="525" customWidth="1"/>
    <col min="4882" max="4882" width="9.33203125" style="525" customWidth="1"/>
    <col min="4883" max="4883" width="1.33203125" style="525" customWidth="1"/>
    <col min="4884" max="4884" width="7.77734375" style="525" customWidth="1"/>
    <col min="4885" max="4885" width="1.33203125" style="525" customWidth="1"/>
    <col min="4886" max="4886" width="0.77734375" style="525" customWidth="1"/>
    <col min="4887" max="4887" width="9.33203125" style="525" customWidth="1"/>
    <col min="4888" max="4888" width="1.33203125" style="525" customWidth="1"/>
    <col min="4889" max="4889" width="0.88671875" style="525" customWidth="1"/>
    <col min="4890" max="4890" width="9.5546875" style="525" bestFit="1" customWidth="1"/>
    <col min="4891" max="4892" width="0.6640625" style="525" customWidth="1"/>
    <col min="4893" max="4893" width="9.6640625" style="525" customWidth="1"/>
    <col min="4894" max="4894" width="1.109375" style="525" customWidth="1"/>
    <col min="4895" max="4895" width="8.5546875" style="525" customWidth="1"/>
    <col min="4896" max="4896" width="14.5546875" style="525" customWidth="1"/>
    <col min="4897" max="4897" width="10" style="525" customWidth="1"/>
    <col min="4898" max="4898" width="7.77734375" style="525" bestFit="1" customWidth="1"/>
    <col min="4899" max="4899" width="9.88671875" style="525" customWidth="1"/>
    <col min="4900" max="5116" width="8.88671875" style="525"/>
    <col min="5117" max="5117" width="38.44140625" style="525" customWidth="1"/>
    <col min="5118" max="5118" width="8.5546875" style="525" customWidth="1"/>
    <col min="5119" max="5119" width="1.33203125" style="525" customWidth="1"/>
    <col min="5120" max="5120" width="8.88671875" style="525" customWidth="1"/>
    <col min="5121" max="5121" width="1.33203125" style="525" customWidth="1"/>
    <col min="5122" max="5122" width="9.33203125" style="525" customWidth="1"/>
    <col min="5123" max="5123" width="1.33203125" style="525" customWidth="1"/>
    <col min="5124" max="5124" width="10" style="525" customWidth="1"/>
    <col min="5125" max="5125" width="1.33203125" style="525" customWidth="1"/>
    <col min="5126" max="5126" width="9.109375" style="525" customWidth="1"/>
    <col min="5127" max="5127" width="1.33203125" style="525" customWidth="1"/>
    <col min="5128" max="5128" width="11.33203125" style="525" customWidth="1"/>
    <col min="5129" max="5129" width="1.33203125" style="525" customWidth="1"/>
    <col min="5130" max="5130" width="9.109375" style="525" customWidth="1"/>
    <col min="5131" max="5131" width="1.6640625" style="525" customWidth="1"/>
    <col min="5132" max="5132" width="11" style="525" customWidth="1"/>
    <col min="5133" max="5133" width="1.33203125" style="525" customWidth="1"/>
    <col min="5134" max="5134" width="10.77734375" style="525" customWidth="1"/>
    <col min="5135" max="5135" width="1.33203125" style="525" customWidth="1"/>
    <col min="5136" max="5136" width="10" style="525" customWidth="1"/>
    <col min="5137" max="5137" width="1.33203125" style="525" customWidth="1"/>
    <col min="5138" max="5138" width="9.33203125" style="525" customWidth="1"/>
    <col min="5139" max="5139" width="1.33203125" style="525" customWidth="1"/>
    <col min="5140" max="5140" width="7.77734375" style="525" customWidth="1"/>
    <col min="5141" max="5141" width="1.33203125" style="525" customWidth="1"/>
    <col min="5142" max="5142" width="0.77734375" style="525" customWidth="1"/>
    <col min="5143" max="5143" width="9.33203125" style="525" customWidth="1"/>
    <col min="5144" max="5144" width="1.33203125" style="525" customWidth="1"/>
    <col min="5145" max="5145" width="0.88671875" style="525" customWidth="1"/>
    <col min="5146" max="5146" width="9.5546875" style="525" bestFit="1" customWidth="1"/>
    <col min="5147" max="5148" width="0.6640625" style="525" customWidth="1"/>
    <col min="5149" max="5149" width="9.6640625" style="525" customWidth="1"/>
    <col min="5150" max="5150" width="1.109375" style="525" customWidth="1"/>
    <col min="5151" max="5151" width="8.5546875" style="525" customWidth="1"/>
    <col min="5152" max="5152" width="14.5546875" style="525" customWidth="1"/>
    <col min="5153" max="5153" width="10" style="525" customWidth="1"/>
    <col min="5154" max="5154" width="7.77734375" style="525" bestFit="1" customWidth="1"/>
    <col min="5155" max="5155" width="9.88671875" style="525" customWidth="1"/>
    <col min="5156" max="5372" width="8.88671875" style="525"/>
    <col min="5373" max="5373" width="38.44140625" style="525" customWidth="1"/>
    <col min="5374" max="5374" width="8.5546875" style="525" customWidth="1"/>
    <col min="5375" max="5375" width="1.33203125" style="525" customWidth="1"/>
    <col min="5376" max="5376" width="8.88671875" style="525" customWidth="1"/>
    <col min="5377" max="5377" width="1.33203125" style="525" customWidth="1"/>
    <col min="5378" max="5378" width="9.33203125" style="525" customWidth="1"/>
    <col min="5379" max="5379" width="1.33203125" style="525" customWidth="1"/>
    <col min="5380" max="5380" width="10" style="525" customWidth="1"/>
    <col min="5381" max="5381" width="1.33203125" style="525" customWidth="1"/>
    <col min="5382" max="5382" width="9.109375" style="525" customWidth="1"/>
    <col min="5383" max="5383" width="1.33203125" style="525" customWidth="1"/>
    <col min="5384" max="5384" width="11.33203125" style="525" customWidth="1"/>
    <col min="5385" max="5385" width="1.33203125" style="525" customWidth="1"/>
    <col min="5386" max="5386" width="9.109375" style="525" customWidth="1"/>
    <col min="5387" max="5387" width="1.6640625" style="525" customWidth="1"/>
    <col min="5388" max="5388" width="11" style="525" customWidth="1"/>
    <col min="5389" max="5389" width="1.33203125" style="525" customWidth="1"/>
    <col min="5390" max="5390" width="10.77734375" style="525" customWidth="1"/>
    <col min="5391" max="5391" width="1.33203125" style="525" customWidth="1"/>
    <col min="5392" max="5392" width="10" style="525" customWidth="1"/>
    <col min="5393" max="5393" width="1.33203125" style="525" customWidth="1"/>
    <col min="5394" max="5394" width="9.33203125" style="525" customWidth="1"/>
    <col min="5395" max="5395" width="1.33203125" style="525" customWidth="1"/>
    <col min="5396" max="5396" width="7.77734375" style="525" customWidth="1"/>
    <col min="5397" max="5397" width="1.33203125" style="525" customWidth="1"/>
    <col min="5398" max="5398" width="0.77734375" style="525" customWidth="1"/>
    <col min="5399" max="5399" width="9.33203125" style="525" customWidth="1"/>
    <col min="5400" max="5400" width="1.33203125" style="525" customWidth="1"/>
    <col min="5401" max="5401" width="0.88671875" style="525" customWidth="1"/>
    <col min="5402" max="5402" width="9.5546875" style="525" bestFit="1" customWidth="1"/>
    <col min="5403" max="5404" width="0.6640625" style="525" customWidth="1"/>
    <col min="5405" max="5405" width="9.6640625" style="525" customWidth="1"/>
    <col min="5406" max="5406" width="1.109375" style="525" customWidth="1"/>
    <col min="5407" max="5407" width="8.5546875" style="525" customWidth="1"/>
    <col min="5408" max="5408" width="14.5546875" style="525" customWidth="1"/>
    <col min="5409" max="5409" width="10" style="525" customWidth="1"/>
    <col min="5410" max="5410" width="7.77734375" style="525" bestFit="1" customWidth="1"/>
    <col min="5411" max="5411" width="9.88671875" style="525" customWidth="1"/>
    <col min="5412" max="5628" width="8.88671875" style="525"/>
    <col min="5629" max="5629" width="38.44140625" style="525" customWidth="1"/>
    <col min="5630" max="5630" width="8.5546875" style="525" customWidth="1"/>
    <col min="5631" max="5631" width="1.33203125" style="525" customWidth="1"/>
    <col min="5632" max="5632" width="8.88671875" style="525" customWidth="1"/>
    <col min="5633" max="5633" width="1.33203125" style="525" customWidth="1"/>
    <col min="5634" max="5634" width="9.33203125" style="525" customWidth="1"/>
    <col min="5635" max="5635" width="1.33203125" style="525" customWidth="1"/>
    <col min="5636" max="5636" width="10" style="525" customWidth="1"/>
    <col min="5637" max="5637" width="1.33203125" style="525" customWidth="1"/>
    <col min="5638" max="5638" width="9.109375" style="525" customWidth="1"/>
    <col min="5639" max="5639" width="1.33203125" style="525" customWidth="1"/>
    <col min="5640" max="5640" width="11.33203125" style="525" customWidth="1"/>
    <col min="5641" max="5641" width="1.33203125" style="525" customWidth="1"/>
    <col min="5642" max="5642" width="9.109375" style="525" customWidth="1"/>
    <col min="5643" max="5643" width="1.6640625" style="525" customWidth="1"/>
    <col min="5644" max="5644" width="11" style="525" customWidth="1"/>
    <col min="5645" max="5645" width="1.33203125" style="525" customWidth="1"/>
    <col min="5646" max="5646" width="10.77734375" style="525" customWidth="1"/>
    <col min="5647" max="5647" width="1.33203125" style="525" customWidth="1"/>
    <col min="5648" max="5648" width="10" style="525" customWidth="1"/>
    <col min="5649" max="5649" width="1.33203125" style="525" customWidth="1"/>
    <col min="5650" max="5650" width="9.33203125" style="525" customWidth="1"/>
    <col min="5651" max="5651" width="1.33203125" style="525" customWidth="1"/>
    <col min="5652" max="5652" width="7.77734375" style="525" customWidth="1"/>
    <col min="5653" max="5653" width="1.33203125" style="525" customWidth="1"/>
    <col min="5654" max="5654" width="0.77734375" style="525" customWidth="1"/>
    <col min="5655" max="5655" width="9.33203125" style="525" customWidth="1"/>
    <col min="5656" max="5656" width="1.33203125" style="525" customWidth="1"/>
    <col min="5657" max="5657" width="0.88671875" style="525" customWidth="1"/>
    <col min="5658" max="5658" width="9.5546875" style="525" bestFit="1" customWidth="1"/>
    <col min="5659" max="5660" width="0.6640625" style="525" customWidth="1"/>
    <col min="5661" max="5661" width="9.6640625" style="525" customWidth="1"/>
    <col min="5662" max="5662" width="1.109375" style="525" customWidth="1"/>
    <col min="5663" max="5663" width="8.5546875" style="525" customWidth="1"/>
    <col min="5664" max="5664" width="14.5546875" style="525" customWidth="1"/>
    <col min="5665" max="5665" width="10" style="525" customWidth="1"/>
    <col min="5666" max="5666" width="7.77734375" style="525" bestFit="1" customWidth="1"/>
    <col min="5667" max="5667" width="9.88671875" style="525" customWidth="1"/>
    <col min="5668" max="5884" width="8.88671875" style="525"/>
    <col min="5885" max="5885" width="38.44140625" style="525" customWidth="1"/>
    <col min="5886" max="5886" width="8.5546875" style="525" customWidth="1"/>
    <col min="5887" max="5887" width="1.33203125" style="525" customWidth="1"/>
    <col min="5888" max="5888" width="8.88671875" style="525" customWidth="1"/>
    <col min="5889" max="5889" width="1.33203125" style="525" customWidth="1"/>
    <col min="5890" max="5890" width="9.33203125" style="525" customWidth="1"/>
    <col min="5891" max="5891" width="1.33203125" style="525" customWidth="1"/>
    <col min="5892" max="5892" width="10" style="525" customWidth="1"/>
    <col min="5893" max="5893" width="1.33203125" style="525" customWidth="1"/>
    <col min="5894" max="5894" width="9.109375" style="525" customWidth="1"/>
    <col min="5895" max="5895" width="1.33203125" style="525" customWidth="1"/>
    <col min="5896" max="5896" width="11.33203125" style="525" customWidth="1"/>
    <col min="5897" max="5897" width="1.33203125" style="525" customWidth="1"/>
    <col min="5898" max="5898" width="9.109375" style="525" customWidth="1"/>
    <col min="5899" max="5899" width="1.6640625" style="525" customWidth="1"/>
    <col min="5900" max="5900" width="11" style="525" customWidth="1"/>
    <col min="5901" max="5901" width="1.33203125" style="525" customWidth="1"/>
    <col min="5902" max="5902" width="10.77734375" style="525" customWidth="1"/>
    <col min="5903" max="5903" width="1.33203125" style="525" customWidth="1"/>
    <col min="5904" max="5904" width="10" style="525" customWidth="1"/>
    <col min="5905" max="5905" width="1.33203125" style="525" customWidth="1"/>
    <col min="5906" max="5906" width="9.33203125" style="525" customWidth="1"/>
    <col min="5907" max="5907" width="1.33203125" style="525" customWidth="1"/>
    <col min="5908" max="5908" width="7.77734375" style="525" customWidth="1"/>
    <col min="5909" max="5909" width="1.33203125" style="525" customWidth="1"/>
    <col min="5910" max="5910" width="0.77734375" style="525" customWidth="1"/>
    <col min="5911" max="5911" width="9.33203125" style="525" customWidth="1"/>
    <col min="5912" max="5912" width="1.33203125" style="525" customWidth="1"/>
    <col min="5913" max="5913" width="0.88671875" style="525" customWidth="1"/>
    <col min="5914" max="5914" width="9.5546875" style="525" bestFit="1" customWidth="1"/>
    <col min="5915" max="5916" width="0.6640625" style="525" customWidth="1"/>
    <col min="5917" max="5917" width="9.6640625" style="525" customWidth="1"/>
    <col min="5918" max="5918" width="1.109375" style="525" customWidth="1"/>
    <col min="5919" max="5919" width="8.5546875" style="525" customWidth="1"/>
    <col min="5920" max="5920" width="14.5546875" style="525" customWidth="1"/>
    <col min="5921" max="5921" width="10" style="525" customWidth="1"/>
    <col min="5922" max="5922" width="7.77734375" style="525" bestFit="1" customWidth="1"/>
    <col min="5923" max="5923" width="9.88671875" style="525" customWidth="1"/>
    <col min="5924" max="6140" width="8.88671875" style="525"/>
    <col min="6141" max="6141" width="38.44140625" style="525" customWidth="1"/>
    <col min="6142" max="6142" width="8.5546875" style="525" customWidth="1"/>
    <col min="6143" max="6143" width="1.33203125" style="525" customWidth="1"/>
    <col min="6144" max="6144" width="8.88671875" style="525" customWidth="1"/>
    <col min="6145" max="6145" width="1.33203125" style="525" customWidth="1"/>
    <col min="6146" max="6146" width="9.33203125" style="525" customWidth="1"/>
    <col min="6147" max="6147" width="1.33203125" style="525" customWidth="1"/>
    <col min="6148" max="6148" width="10" style="525" customWidth="1"/>
    <col min="6149" max="6149" width="1.33203125" style="525" customWidth="1"/>
    <col min="6150" max="6150" width="9.109375" style="525" customWidth="1"/>
    <col min="6151" max="6151" width="1.33203125" style="525" customWidth="1"/>
    <col min="6152" max="6152" width="11.33203125" style="525" customWidth="1"/>
    <col min="6153" max="6153" width="1.33203125" style="525" customWidth="1"/>
    <col min="6154" max="6154" width="9.109375" style="525" customWidth="1"/>
    <col min="6155" max="6155" width="1.6640625" style="525" customWidth="1"/>
    <col min="6156" max="6156" width="11" style="525" customWidth="1"/>
    <col min="6157" max="6157" width="1.33203125" style="525" customWidth="1"/>
    <col min="6158" max="6158" width="10.77734375" style="525" customWidth="1"/>
    <col min="6159" max="6159" width="1.33203125" style="525" customWidth="1"/>
    <col min="6160" max="6160" width="10" style="525" customWidth="1"/>
    <col min="6161" max="6161" width="1.33203125" style="525" customWidth="1"/>
    <col min="6162" max="6162" width="9.33203125" style="525" customWidth="1"/>
    <col min="6163" max="6163" width="1.33203125" style="525" customWidth="1"/>
    <col min="6164" max="6164" width="7.77734375" style="525" customWidth="1"/>
    <col min="6165" max="6165" width="1.33203125" style="525" customWidth="1"/>
    <col min="6166" max="6166" width="0.77734375" style="525" customWidth="1"/>
    <col min="6167" max="6167" width="9.33203125" style="525" customWidth="1"/>
    <col min="6168" max="6168" width="1.33203125" style="525" customWidth="1"/>
    <col min="6169" max="6169" width="0.88671875" style="525" customWidth="1"/>
    <col min="6170" max="6170" width="9.5546875" style="525" bestFit="1" customWidth="1"/>
    <col min="6171" max="6172" width="0.6640625" style="525" customWidth="1"/>
    <col min="6173" max="6173" width="9.6640625" style="525" customWidth="1"/>
    <col min="6174" max="6174" width="1.109375" style="525" customWidth="1"/>
    <col min="6175" max="6175" width="8.5546875" style="525" customWidth="1"/>
    <col min="6176" max="6176" width="14.5546875" style="525" customWidth="1"/>
    <col min="6177" max="6177" width="10" style="525" customWidth="1"/>
    <col min="6178" max="6178" width="7.77734375" style="525" bestFit="1" customWidth="1"/>
    <col min="6179" max="6179" width="9.88671875" style="525" customWidth="1"/>
    <col min="6180" max="6396" width="8.88671875" style="525"/>
    <col min="6397" max="6397" width="38.44140625" style="525" customWidth="1"/>
    <col min="6398" max="6398" width="8.5546875" style="525" customWidth="1"/>
    <col min="6399" max="6399" width="1.33203125" style="525" customWidth="1"/>
    <col min="6400" max="6400" width="8.88671875" style="525" customWidth="1"/>
    <col min="6401" max="6401" width="1.33203125" style="525" customWidth="1"/>
    <col min="6402" max="6402" width="9.33203125" style="525" customWidth="1"/>
    <col min="6403" max="6403" width="1.33203125" style="525" customWidth="1"/>
    <col min="6404" max="6404" width="10" style="525" customWidth="1"/>
    <col min="6405" max="6405" width="1.33203125" style="525" customWidth="1"/>
    <col min="6406" max="6406" width="9.109375" style="525" customWidth="1"/>
    <col min="6407" max="6407" width="1.33203125" style="525" customWidth="1"/>
    <col min="6408" max="6408" width="11.33203125" style="525" customWidth="1"/>
    <col min="6409" max="6409" width="1.33203125" style="525" customWidth="1"/>
    <col min="6410" max="6410" width="9.109375" style="525" customWidth="1"/>
    <col min="6411" max="6411" width="1.6640625" style="525" customWidth="1"/>
    <col min="6412" max="6412" width="11" style="525" customWidth="1"/>
    <col min="6413" max="6413" width="1.33203125" style="525" customWidth="1"/>
    <col min="6414" max="6414" width="10.77734375" style="525" customWidth="1"/>
    <col min="6415" max="6415" width="1.33203125" style="525" customWidth="1"/>
    <col min="6416" max="6416" width="10" style="525" customWidth="1"/>
    <col min="6417" max="6417" width="1.33203125" style="525" customWidth="1"/>
    <col min="6418" max="6418" width="9.33203125" style="525" customWidth="1"/>
    <col min="6419" max="6419" width="1.33203125" style="525" customWidth="1"/>
    <col min="6420" max="6420" width="7.77734375" style="525" customWidth="1"/>
    <col min="6421" max="6421" width="1.33203125" style="525" customWidth="1"/>
    <col min="6422" max="6422" width="0.77734375" style="525" customWidth="1"/>
    <col min="6423" max="6423" width="9.33203125" style="525" customWidth="1"/>
    <col min="6424" max="6424" width="1.33203125" style="525" customWidth="1"/>
    <col min="6425" max="6425" width="0.88671875" style="525" customWidth="1"/>
    <col min="6426" max="6426" width="9.5546875" style="525" bestFit="1" customWidth="1"/>
    <col min="6427" max="6428" width="0.6640625" style="525" customWidth="1"/>
    <col min="6429" max="6429" width="9.6640625" style="525" customWidth="1"/>
    <col min="6430" max="6430" width="1.109375" style="525" customWidth="1"/>
    <col min="6431" max="6431" width="8.5546875" style="525" customWidth="1"/>
    <col min="6432" max="6432" width="14.5546875" style="525" customWidth="1"/>
    <col min="6433" max="6433" width="10" style="525" customWidth="1"/>
    <col min="6434" max="6434" width="7.77734375" style="525" bestFit="1" customWidth="1"/>
    <col min="6435" max="6435" width="9.88671875" style="525" customWidth="1"/>
    <col min="6436" max="6652" width="8.88671875" style="525"/>
    <col min="6653" max="6653" width="38.44140625" style="525" customWidth="1"/>
    <col min="6654" max="6654" width="8.5546875" style="525" customWidth="1"/>
    <col min="6655" max="6655" width="1.33203125" style="525" customWidth="1"/>
    <col min="6656" max="6656" width="8.88671875" style="525" customWidth="1"/>
    <col min="6657" max="6657" width="1.33203125" style="525" customWidth="1"/>
    <col min="6658" max="6658" width="9.33203125" style="525" customWidth="1"/>
    <col min="6659" max="6659" width="1.33203125" style="525" customWidth="1"/>
    <col min="6660" max="6660" width="10" style="525" customWidth="1"/>
    <col min="6661" max="6661" width="1.33203125" style="525" customWidth="1"/>
    <col min="6662" max="6662" width="9.109375" style="525" customWidth="1"/>
    <col min="6663" max="6663" width="1.33203125" style="525" customWidth="1"/>
    <col min="6664" max="6664" width="11.33203125" style="525" customWidth="1"/>
    <col min="6665" max="6665" width="1.33203125" style="525" customWidth="1"/>
    <col min="6666" max="6666" width="9.109375" style="525" customWidth="1"/>
    <col min="6667" max="6667" width="1.6640625" style="525" customWidth="1"/>
    <col min="6668" max="6668" width="11" style="525" customWidth="1"/>
    <col min="6669" max="6669" width="1.33203125" style="525" customWidth="1"/>
    <col min="6670" max="6670" width="10.77734375" style="525" customWidth="1"/>
    <col min="6671" max="6671" width="1.33203125" style="525" customWidth="1"/>
    <col min="6672" max="6672" width="10" style="525" customWidth="1"/>
    <col min="6673" max="6673" width="1.33203125" style="525" customWidth="1"/>
    <col min="6674" max="6674" width="9.33203125" style="525" customWidth="1"/>
    <col min="6675" max="6675" width="1.33203125" style="525" customWidth="1"/>
    <col min="6676" max="6676" width="7.77734375" style="525" customWidth="1"/>
    <col min="6677" max="6677" width="1.33203125" style="525" customWidth="1"/>
    <col min="6678" max="6678" width="0.77734375" style="525" customWidth="1"/>
    <col min="6679" max="6679" width="9.33203125" style="525" customWidth="1"/>
    <col min="6680" max="6680" width="1.33203125" style="525" customWidth="1"/>
    <col min="6681" max="6681" width="0.88671875" style="525" customWidth="1"/>
    <col min="6682" max="6682" width="9.5546875" style="525" bestFit="1" customWidth="1"/>
    <col min="6683" max="6684" width="0.6640625" style="525" customWidth="1"/>
    <col min="6685" max="6685" width="9.6640625" style="525" customWidth="1"/>
    <col min="6686" max="6686" width="1.109375" style="525" customWidth="1"/>
    <col min="6687" max="6687" width="8.5546875" style="525" customWidth="1"/>
    <col min="6688" max="6688" width="14.5546875" style="525" customWidth="1"/>
    <col min="6689" max="6689" width="10" style="525" customWidth="1"/>
    <col min="6690" max="6690" width="7.77734375" style="525" bestFit="1" customWidth="1"/>
    <col min="6691" max="6691" width="9.88671875" style="525" customWidth="1"/>
    <col min="6692" max="6908" width="8.88671875" style="525"/>
    <col min="6909" max="6909" width="38.44140625" style="525" customWidth="1"/>
    <col min="6910" max="6910" width="8.5546875" style="525" customWidth="1"/>
    <col min="6911" max="6911" width="1.33203125" style="525" customWidth="1"/>
    <col min="6912" max="6912" width="8.88671875" style="525" customWidth="1"/>
    <col min="6913" max="6913" width="1.33203125" style="525" customWidth="1"/>
    <col min="6914" max="6914" width="9.33203125" style="525" customWidth="1"/>
    <col min="6915" max="6915" width="1.33203125" style="525" customWidth="1"/>
    <col min="6916" max="6916" width="10" style="525" customWidth="1"/>
    <col min="6917" max="6917" width="1.33203125" style="525" customWidth="1"/>
    <col min="6918" max="6918" width="9.109375" style="525" customWidth="1"/>
    <col min="6919" max="6919" width="1.33203125" style="525" customWidth="1"/>
    <col min="6920" max="6920" width="11.33203125" style="525" customWidth="1"/>
    <col min="6921" max="6921" width="1.33203125" style="525" customWidth="1"/>
    <col min="6922" max="6922" width="9.109375" style="525" customWidth="1"/>
    <col min="6923" max="6923" width="1.6640625" style="525" customWidth="1"/>
    <col min="6924" max="6924" width="11" style="525" customWidth="1"/>
    <col min="6925" max="6925" width="1.33203125" style="525" customWidth="1"/>
    <col min="6926" max="6926" width="10.77734375" style="525" customWidth="1"/>
    <col min="6927" max="6927" width="1.33203125" style="525" customWidth="1"/>
    <col min="6928" max="6928" width="10" style="525" customWidth="1"/>
    <col min="6929" max="6929" width="1.33203125" style="525" customWidth="1"/>
    <col min="6930" max="6930" width="9.33203125" style="525" customWidth="1"/>
    <col min="6931" max="6931" width="1.33203125" style="525" customWidth="1"/>
    <col min="6932" max="6932" width="7.77734375" style="525" customWidth="1"/>
    <col min="6933" max="6933" width="1.33203125" style="525" customWidth="1"/>
    <col min="6934" max="6934" width="0.77734375" style="525" customWidth="1"/>
    <col min="6935" max="6935" width="9.33203125" style="525" customWidth="1"/>
    <col min="6936" max="6936" width="1.33203125" style="525" customWidth="1"/>
    <col min="6937" max="6937" width="0.88671875" style="525" customWidth="1"/>
    <col min="6938" max="6938" width="9.5546875" style="525" bestFit="1" customWidth="1"/>
    <col min="6939" max="6940" width="0.6640625" style="525" customWidth="1"/>
    <col min="6941" max="6941" width="9.6640625" style="525" customWidth="1"/>
    <col min="6942" max="6942" width="1.109375" style="525" customWidth="1"/>
    <col min="6943" max="6943" width="8.5546875" style="525" customWidth="1"/>
    <col min="6944" max="6944" width="14.5546875" style="525" customWidth="1"/>
    <col min="6945" max="6945" width="10" style="525" customWidth="1"/>
    <col min="6946" max="6946" width="7.77734375" style="525" bestFit="1" customWidth="1"/>
    <col min="6947" max="6947" width="9.88671875" style="525" customWidth="1"/>
    <col min="6948" max="7164" width="8.88671875" style="525"/>
    <col min="7165" max="7165" width="38.44140625" style="525" customWidth="1"/>
    <col min="7166" max="7166" width="8.5546875" style="525" customWidth="1"/>
    <col min="7167" max="7167" width="1.33203125" style="525" customWidth="1"/>
    <col min="7168" max="7168" width="8.88671875" style="525" customWidth="1"/>
    <col min="7169" max="7169" width="1.33203125" style="525" customWidth="1"/>
    <col min="7170" max="7170" width="9.33203125" style="525" customWidth="1"/>
    <col min="7171" max="7171" width="1.33203125" style="525" customWidth="1"/>
    <col min="7172" max="7172" width="10" style="525" customWidth="1"/>
    <col min="7173" max="7173" width="1.33203125" style="525" customWidth="1"/>
    <col min="7174" max="7174" width="9.109375" style="525" customWidth="1"/>
    <col min="7175" max="7175" width="1.33203125" style="525" customWidth="1"/>
    <col min="7176" max="7176" width="11.33203125" style="525" customWidth="1"/>
    <col min="7177" max="7177" width="1.33203125" style="525" customWidth="1"/>
    <col min="7178" max="7178" width="9.109375" style="525" customWidth="1"/>
    <col min="7179" max="7179" width="1.6640625" style="525" customWidth="1"/>
    <col min="7180" max="7180" width="11" style="525" customWidth="1"/>
    <col min="7181" max="7181" width="1.33203125" style="525" customWidth="1"/>
    <col min="7182" max="7182" width="10.77734375" style="525" customWidth="1"/>
    <col min="7183" max="7183" width="1.33203125" style="525" customWidth="1"/>
    <col min="7184" max="7184" width="10" style="525" customWidth="1"/>
    <col min="7185" max="7185" width="1.33203125" style="525" customWidth="1"/>
    <col min="7186" max="7186" width="9.33203125" style="525" customWidth="1"/>
    <col min="7187" max="7187" width="1.33203125" style="525" customWidth="1"/>
    <col min="7188" max="7188" width="7.77734375" style="525" customWidth="1"/>
    <col min="7189" max="7189" width="1.33203125" style="525" customWidth="1"/>
    <col min="7190" max="7190" width="0.77734375" style="525" customWidth="1"/>
    <col min="7191" max="7191" width="9.33203125" style="525" customWidth="1"/>
    <col min="7192" max="7192" width="1.33203125" style="525" customWidth="1"/>
    <col min="7193" max="7193" width="0.88671875" style="525" customWidth="1"/>
    <col min="7194" max="7194" width="9.5546875" style="525" bestFit="1" customWidth="1"/>
    <col min="7195" max="7196" width="0.6640625" style="525" customWidth="1"/>
    <col min="7197" max="7197" width="9.6640625" style="525" customWidth="1"/>
    <col min="7198" max="7198" width="1.109375" style="525" customWidth="1"/>
    <col min="7199" max="7199" width="8.5546875" style="525" customWidth="1"/>
    <col min="7200" max="7200" width="14.5546875" style="525" customWidth="1"/>
    <col min="7201" max="7201" width="10" style="525" customWidth="1"/>
    <col min="7202" max="7202" width="7.77734375" style="525" bestFit="1" customWidth="1"/>
    <col min="7203" max="7203" width="9.88671875" style="525" customWidth="1"/>
    <col min="7204" max="7420" width="8.88671875" style="525"/>
    <col min="7421" max="7421" width="38.44140625" style="525" customWidth="1"/>
    <col min="7422" max="7422" width="8.5546875" style="525" customWidth="1"/>
    <col min="7423" max="7423" width="1.33203125" style="525" customWidth="1"/>
    <col min="7424" max="7424" width="8.88671875" style="525" customWidth="1"/>
    <col min="7425" max="7425" width="1.33203125" style="525" customWidth="1"/>
    <col min="7426" max="7426" width="9.33203125" style="525" customWidth="1"/>
    <col min="7427" max="7427" width="1.33203125" style="525" customWidth="1"/>
    <col min="7428" max="7428" width="10" style="525" customWidth="1"/>
    <col min="7429" max="7429" width="1.33203125" style="525" customWidth="1"/>
    <col min="7430" max="7430" width="9.109375" style="525" customWidth="1"/>
    <col min="7431" max="7431" width="1.33203125" style="525" customWidth="1"/>
    <col min="7432" max="7432" width="11.33203125" style="525" customWidth="1"/>
    <col min="7433" max="7433" width="1.33203125" style="525" customWidth="1"/>
    <col min="7434" max="7434" width="9.109375" style="525" customWidth="1"/>
    <col min="7435" max="7435" width="1.6640625" style="525" customWidth="1"/>
    <col min="7436" max="7436" width="11" style="525" customWidth="1"/>
    <col min="7437" max="7437" width="1.33203125" style="525" customWidth="1"/>
    <col min="7438" max="7438" width="10.77734375" style="525" customWidth="1"/>
    <col min="7439" max="7439" width="1.33203125" style="525" customWidth="1"/>
    <col min="7440" max="7440" width="10" style="525" customWidth="1"/>
    <col min="7441" max="7441" width="1.33203125" style="525" customWidth="1"/>
    <col min="7442" max="7442" width="9.33203125" style="525" customWidth="1"/>
    <col min="7443" max="7443" width="1.33203125" style="525" customWidth="1"/>
    <col min="7444" max="7444" width="7.77734375" style="525" customWidth="1"/>
    <col min="7445" max="7445" width="1.33203125" style="525" customWidth="1"/>
    <col min="7446" max="7446" width="0.77734375" style="525" customWidth="1"/>
    <col min="7447" max="7447" width="9.33203125" style="525" customWidth="1"/>
    <col min="7448" max="7448" width="1.33203125" style="525" customWidth="1"/>
    <col min="7449" max="7449" width="0.88671875" style="525" customWidth="1"/>
    <col min="7450" max="7450" width="9.5546875" style="525" bestFit="1" customWidth="1"/>
    <col min="7451" max="7452" width="0.6640625" style="525" customWidth="1"/>
    <col min="7453" max="7453" width="9.6640625" style="525" customWidth="1"/>
    <col min="7454" max="7454" width="1.109375" style="525" customWidth="1"/>
    <col min="7455" max="7455" width="8.5546875" style="525" customWidth="1"/>
    <col min="7456" max="7456" width="14.5546875" style="525" customWidth="1"/>
    <col min="7457" max="7457" width="10" style="525" customWidth="1"/>
    <col min="7458" max="7458" width="7.77734375" style="525" bestFit="1" customWidth="1"/>
    <col min="7459" max="7459" width="9.88671875" style="525" customWidth="1"/>
    <col min="7460" max="7676" width="8.88671875" style="525"/>
    <col min="7677" max="7677" width="38.44140625" style="525" customWidth="1"/>
    <col min="7678" max="7678" width="8.5546875" style="525" customWidth="1"/>
    <col min="7679" max="7679" width="1.33203125" style="525" customWidth="1"/>
    <col min="7680" max="7680" width="8.88671875" style="525" customWidth="1"/>
    <col min="7681" max="7681" width="1.33203125" style="525" customWidth="1"/>
    <col min="7682" max="7682" width="9.33203125" style="525" customWidth="1"/>
    <col min="7683" max="7683" width="1.33203125" style="525" customWidth="1"/>
    <col min="7684" max="7684" width="10" style="525" customWidth="1"/>
    <col min="7685" max="7685" width="1.33203125" style="525" customWidth="1"/>
    <col min="7686" max="7686" width="9.109375" style="525" customWidth="1"/>
    <col min="7687" max="7687" width="1.33203125" style="525" customWidth="1"/>
    <col min="7688" max="7688" width="11.33203125" style="525" customWidth="1"/>
    <col min="7689" max="7689" width="1.33203125" style="525" customWidth="1"/>
    <col min="7690" max="7690" width="9.109375" style="525" customWidth="1"/>
    <col min="7691" max="7691" width="1.6640625" style="525" customWidth="1"/>
    <col min="7692" max="7692" width="11" style="525" customWidth="1"/>
    <col min="7693" max="7693" width="1.33203125" style="525" customWidth="1"/>
    <col min="7694" max="7694" width="10.77734375" style="525" customWidth="1"/>
    <col min="7695" max="7695" width="1.33203125" style="525" customWidth="1"/>
    <col min="7696" max="7696" width="10" style="525" customWidth="1"/>
    <col min="7697" max="7697" width="1.33203125" style="525" customWidth="1"/>
    <col min="7698" max="7698" width="9.33203125" style="525" customWidth="1"/>
    <col min="7699" max="7699" width="1.33203125" style="525" customWidth="1"/>
    <col min="7700" max="7700" width="7.77734375" style="525" customWidth="1"/>
    <col min="7701" max="7701" width="1.33203125" style="525" customWidth="1"/>
    <col min="7702" max="7702" width="0.77734375" style="525" customWidth="1"/>
    <col min="7703" max="7703" width="9.33203125" style="525" customWidth="1"/>
    <col min="7704" max="7704" width="1.33203125" style="525" customWidth="1"/>
    <col min="7705" max="7705" width="0.88671875" style="525" customWidth="1"/>
    <col min="7706" max="7706" width="9.5546875" style="525" bestFit="1" customWidth="1"/>
    <col min="7707" max="7708" width="0.6640625" style="525" customWidth="1"/>
    <col min="7709" max="7709" width="9.6640625" style="525" customWidth="1"/>
    <col min="7710" max="7710" width="1.109375" style="525" customWidth="1"/>
    <col min="7711" max="7711" width="8.5546875" style="525" customWidth="1"/>
    <col min="7712" max="7712" width="14.5546875" style="525" customWidth="1"/>
    <col min="7713" max="7713" width="10" style="525" customWidth="1"/>
    <col min="7714" max="7714" width="7.77734375" style="525" bestFit="1" customWidth="1"/>
    <col min="7715" max="7715" width="9.88671875" style="525" customWidth="1"/>
    <col min="7716" max="7932" width="8.88671875" style="525"/>
    <col min="7933" max="7933" width="38.44140625" style="525" customWidth="1"/>
    <col min="7934" max="7934" width="8.5546875" style="525" customWidth="1"/>
    <col min="7935" max="7935" width="1.33203125" style="525" customWidth="1"/>
    <col min="7936" max="7936" width="8.88671875" style="525" customWidth="1"/>
    <col min="7937" max="7937" width="1.33203125" style="525" customWidth="1"/>
    <col min="7938" max="7938" width="9.33203125" style="525" customWidth="1"/>
    <col min="7939" max="7939" width="1.33203125" style="525" customWidth="1"/>
    <col min="7940" max="7940" width="10" style="525" customWidth="1"/>
    <col min="7941" max="7941" width="1.33203125" style="525" customWidth="1"/>
    <col min="7942" max="7942" width="9.109375" style="525" customWidth="1"/>
    <col min="7943" max="7943" width="1.33203125" style="525" customWidth="1"/>
    <col min="7944" max="7944" width="11.33203125" style="525" customWidth="1"/>
    <col min="7945" max="7945" width="1.33203125" style="525" customWidth="1"/>
    <col min="7946" max="7946" width="9.109375" style="525" customWidth="1"/>
    <col min="7947" max="7947" width="1.6640625" style="525" customWidth="1"/>
    <col min="7948" max="7948" width="11" style="525" customWidth="1"/>
    <col min="7949" max="7949" width="1.33203125" style="525" customWidth="1"/>
    <col min="7950" max="7950" width="10.77734375" style="525" customWidth="1"/>
    <col min="7951" max="7951" width="1.33203125" style="525" customWidth="1"/>
    <col min="7952" max="7952" width="10" style="525" customWidth="1"/>
    <col min="7953" max="7953" width="1.33203125" style="525" customWidth="1"/>
    <col min="7954" max="7954" width="9.33203125" style="525" customWidth="1"/>
    <col min="7955" max="7955" width="1.33203125" style="525" customWidth="1"/>
    <col min="7956" max="7956" width="7.77734375" style="525" customWidth="1"/>
    <col min="7957" max="7957" width="1.33203125" style="525" customWidth="1"/>
    <col min="7958" max="7958" width="0.77734375" style="525" customWidth="1"/>
    <col min="7959" max="7959" width="9.33203125" style="525" customWidth="1"/>
    <col min="7960" max="7960" width="1.33203125" style="525" customWidth="1"/>
    <col min="7961" max="7961" width="0.88671875" style="525" customWidth="1"/>
    <col min="7962" max="7962" width="9.5546875" style="525" bestFit="1" customWidth="1"/>
    <col min="7963" max="7964" width="0.6640625" style="525" customWidth="1"/>
    <col min="7965" max="7965" width="9.6640625" style="525" customWidth="1"/>
    <col min="7966" max="7966" width="1.109375" style="525" customWidth="1"/>
    <col min="7967" max="7967" width="8.5546875" style="525" customWidth="1"/>
    <col min="7968" max="7968" width="14.5546875" style="525" customWidth="1"/>
    <col min="7969" max="7969" width="10" style="525" customWidth="1"/>
    <col min="7970" max="7970" width="7.77734375" style="525" bestFit="1" customWidth="1"/>
    <col min="7971" max="7971" width="9.88671875" style="525" customWidth="1"/>
    <col min="7972" max="8188" width="8.88671875" style="525"/>
    <col min="8189" max="8189" width="38.44140625" style="525" customWidth="1"/>
    <col min="8190" max="8190" width="8.5546875" style="525" customWidth="1"/>
    <col min="8191" max="8191" width="1.33203125" style="525" customWidth="1"/>
    <col min="8192" max="8192" width="8.88671875" style="525" customWidth="1"/>
    <col min="8193" max="8193" width="1.33203125" style="525" customWidth="1"/>
    <col min="8194" max="8194" width="9.33203125" style="525" customWidth="1"/>
    <col min="8195" max="8195" width="1.33203125" style="525" customWidth="1"/>
    <col min="8196" max="8196" width="10" style="525" customWidth="1"/>
    <col min="8197" max="8197" width="1.33203125" style="525" customWidth="1"/>
    <col min="8198" max="8198" width="9.109375" style="525" customWidth="1"/>
    <col min="8199" max="8199" width="1.33203125" style="525" customWidth="1"/>
    <col min="8200" max="8200" width="11.33203125" style="525" customWidth="1"/>
    <col min="8201" max="8201" width="1.33203125" style="525" customWidth="1"/>
    <col min="8202" max="8202" width="9.109375" style="525" customWidth="1"/>
    <col min="8203" max="8203" width="1.6640625" style="525" customWidth="1"/>
    <col min="8204" max="8204" width="11" style="525" customWidth="1"/>
    <col min="8205" max="8205" width="1.33203125" style="525" customWidth="1"/>
    <col min="8206" max="8206" width="10.77734375" style="525" customWidth="1"/>
    <col min="8207" max="8207" width="1.33203125" style="525" customWidth="1"/>
    <col min="8208" max="8208" width="10" style="525" customWidth="1"/>
    <col min="8209" max="8209" width="1.33203125" style="525" customWidth="1"/>
    <col min="8210" max="8210" width="9.33203125" style="525" customWidth="1"/>
    <col min="8211" max="8211" width="1.33203125" style="525" customWidth="1"/>
    <col min="8212" max="8212" width="7.77734375" style="525" customWidth="1"/>
    <col min="8213" max="8213" width="1.33203125" style="525" customWidth="1"/>
    <col min="8214" max="8214" width="0.77734375" style="525" customWidth="1"/>
    <col min="8215" max="8215" width="9.33203125" style="525" customWidth="1"/>
    <col min="8216" max="8216" width="1.33203125" style="525" customWidth="1"/>
    <col min="8217" max="8217" width="0.88671875" style="525" customWidth="1"/>
    <col min="8218" max="8218" width="9.5546875" style="525" bestFit="1" customWidth="1"/>
    <col min="8219" max="8220" width="0.6640625" style="525" customWidth="1"/>
    <col min="8221" max="8221" width="9.6640625" style="525" customWidth="1"/>
    <col min="8222" max="8222" width="1.109375" style="525" customWidth="1"/>
    <col min="8223" max="8223" width="8.5546875" style="525" customWidth="1"/>
    <col min="8224" max="8224" width="14.5546875" style="525" customWidth="1"/>
    <col min="8225" max="8225" width="10" style="525" customWidth="1"/>
    <col min="8226" max="8226" width="7.77734375" style="525" bestFit="1" customWidth="1"/>
    <col min="8227" max="8227" width="9.88671875" style="525" customWidth="1"/>
    <col min="8228" max="8444" width="8.88671875" style="525"/>
    <col min="8445" max="8445" width="38.44140625" style="525" customWidth="1"/>
    <col min="8446" max="8446" width="8.5546875" style="525" customWidth="1"/>
    <col min="8447" max="8447" width="1.33203125" style="525" customWidth="1"/>
    <col min="8448" max="8448" width="8.88671875" style="525" customWidth="1"/>
    <col min="8449" max="8449" width="1.33203125" style="525" customWidth="1"/>
    <col min="8450" max="8450" width="9.33203125" style="525" customWidth="1"/>
    <col min="8451" max="8451" width="1.33203125" style="525" customWidth="1"/>
    <col min="8452" max="8452" width="10" style="525" customWidth="1"/>
    <col min="8453" max="8453" width="1.33203125" style="525" customWidth="1"/>
    <col min="8454" max="8454" width="9.109375" style="525" customWidth="1"/>
    <col min="8455" max="8455" width="1.33203125" style="525" customWidth="1"/>
    <col min="8456" max="8456" width="11.33203125" style="525" customWidth="1"/>
    <col min="8457" max="8457" width="1.33203125" style="525" customWidth="1"/>
    <col min="8458" max="8458" width="9.109375" style="525" customWidth="1"/>
    <col min="8459" max="8459" width="1.6640625" style="525" customWidth="1"/>
    <col min="8460" max="8460" width="11" style="525" customWidth="1"/>
    <col min="8461" max="8461" width="1.33203125" style="525" customWidth="1"/>
    <col min="8462" max="8462" width="10.77734375" style="525" customWidth="1"/>
    <col min="8463" max="8463" width="1.33203125" style="525" customWidth="1"/>
    <col min="8464" max="8464" width="10" style="525" customWidth="1"/>
    <col min="8465" max="8465" width="1.33203125" style="525" customWidth="1"/>
    <col min="8466" max="8466" width="9.33203125" style="525" customWidth="1"/>
    <col min="8467" max="8467" width="1.33203125" style="525" customWidth="1"/>
    <col min="8468" max="8468" width="7.77734375" style="525" customWidth="1"/>
    <col min="8469" max="8469" width="1.33203125" style="525" customWidth="1"/>
    <col min="8470" max="8470" width="0.77734375" style="525" customWidth="1"/>
    <col min="8471" max="8471" width="9.33203125" style="525" customWidth="1"/>
    <col min="8472" max="8472" width="1.33203125" style="525" customWidth="1"/>
    <col min="8473" max="8473" width="0.88671875" style="525" customWidth="1"/>
    <col min="8474" max="8474" width="9.5546875" style="525" bestFit="1" customWidth="1"/>
    <col min="8475" max="8476" width="0.6640625" style="525" customWidth="1"/>
    <col min="8477" max="8477" width="9.6640625" style="525" customWidth="1"/>
    <col min="8478" max="8478" width="1.109375" style="525" customWidth="1"/>
    <col min="8479" max="8479" width="8.5546875" style="525" customWidth="1"/>
    <col min="8480" max="8480" width="14.5546875" style="525" customWidth="1"/>
    <col min="8481" max="8481" width="10" style="525" customWidth="1"/>
    <col min="8482" max="8482" width="7.77734375" style="525" bestFit="1" customWidth="1"/>
    <col min="8483" max="8483" width="9.88671875" style="525" customWidth="1"/>
    <col min="8484" max="8700" width="8.88671875" style="525"/>
    <col min="8701" max="8701" width="38.44140625" style="525" customWidth="1"/>
    <col min="8702" max="8702" width="8.5546875" style="525" customWidth="1"/>
    <col min="8703" max="8703" width="1.33203125" style="525" customWidth="1"/>
    <col min="8704" max="8704" width="8.88671875" style="525" customWidth="1"/>
    <col min="8705" max="8705" width="1.33203125" style="525" customWidth="1"/>
    <col min="8706" max="8706" width="9.33203125" style="525" customWidth="1"/>
    <col min="8707" max="8707" width="1.33203125" style="525" customWidth="1"/>
    <col min="8708" max="8708" width="10" style="525" customWidth="1"/>
    <col min="8709" max="8709" width="1.33203125" style="525" customWidth="1"/>
    <col min="8710" max="8710" width="9.109375" style="525" customWidth="1"/>
    <col min="8711" max="8711" width="1.33203125" style="525" customWidth="1"/>
    <col min="8712" max="8712" width="11.33203125" style="525" customWidth="1"/>
    <col min="8713" max="8713" width="1.33203125" style="525" customWidth="1"/>
    <col min="8714" max="8714" width="9.109375" style="525" customWidth="1"/>
    <col min="8715" max="8715" width="1.6640625" style="525" customWidth="1"/>
    <col min="8716" max="8716" width="11" style="525" customWidth="1"/>
    <col min="8717" max="8717" width="1.33203125" style="525" customWidth="1"/>
    <col min="8718" max="8718" width="10.77734375" style="525" customWidth="1"/>
    <col min="8719" max="8719" width="1.33203125" style="525" customWidth="1"/>
    <col min="8720" max="8720" width="10" style="525" customWidth="1"/>
    <col min="8721" max="8721" width="1.33203125" style="525" customWidth="1"/>
    <col min="8722" max="8722" width="9.33203125" style="525" customWidth="1"/>
    <col min="8723" max="8723" width="1.33203125" style="525" customWidth="1"/>
    <col min="8724" max="8724" width="7.77734375" style="525" customWidth="1"/>
    <col min="8725" max="8725" width="1.33203125" style="525" customWidth="1"/>
    <col min="8726" max="8726" width="0.77734375" style="525" customWidth="1"/>
    <col min="8727" max="8727" width="9.33203125" style="525" customWidth="1"/>
    <col min="8728" max="8728" width="1.33203125" style="525" customWidth="1"/>
    <col min="8729" max="8729" width="0.88671875" style="525" customWidth="1"/>
    <col min="8730" max="8730" width="9.5546875" style="525" bestFit="1" customWidth="1"/>
    <col min="8731" max="8732" width="0.6640625" style="525" customWidth="1"/>
    <col min="8733" max="8733" width="9.6640625" style="525" customWidth="1"/>
    <col min="8734" max="8734" width="1.109375" style="525" customWidth="1"/>
    <col min="8735" max="8735" width="8.5546875" style="525" customWidth="1"/>
    <col min="8736" max="8736" width="14.5546875" style="525" customWidth="1"/>
    <col min="8737" max="8737" width="10" style="525" customWidth="1"/>
    <col min="8738" max="8738" width="7.77734375" style="525" bestFit="1" customWidth="1"/>
    <col min="8739" max="8739" width="9.88671875" style="525" customWidth="1"/>
    <col min="8740" max="8956" width="8.88671875" style="525"/>
    <col min="8957" max="8957" width="38.44140625" style="525" customWidth="1"/>
    <col min="8958" max="8958" width="8.5546875" style="525" customWidth="1"/>
    <col min="8959" max="8959" width="1.33203125" style="525" customWidth="1"/>
    <col min="8960" max="8960" width="8.88671875" style="525" customWidth="1"/>
    <col min="8961" max="8961" width="1.33203125" style="525" customWidth="1"/>
    <col min="8962" max="8962" width="9.33203125" style="525" customWidth="1"/>
    <col min="8963" max="8963" width="1.33203125" style="525" customWidth="1"/>
    <col min="8964" max="8964" width="10" style="525" customWidth="1"/>
    <col min="8965" max="8965" width="1.33203125" style="525" customWidth="1"/>
    <col min="8966" max="8966" width="9.109375" style="525" customWidth="1"/>
    <col min="8967" max="8967" width="1.33203125" style="525" customWidth="1"/>
    <col min="8968" max="8968" width="11.33203125" style="525" customWidth="1"/>
    <col min="8969" max="8969" width="1.33203125" style="525" customWidth="1"/>
    <col min="8970" max="8970" width="9.109375" style="525" customWidth="1"/>
    <col min="8971" max="8971" width="1.6640625" style="525" customWidth="1"/>
    <col min="8972" max="8972" width="11" style="525" customWidth="1"/>
    <col min="8973" max="8973" width="1.33203125" style="525" customWidth="1"/>
    <col min="8974" max="8974" width="10.77734375" style="525" customWidth="1"/>
    <col min="8975" max="8975" width="1.33203125" style="525" customWidth="1"/>
    <col min="8976" max="8976" width="10" style="525" customWidth="1"/>
    <col min="8977" max="8977" width="1.33203125" style="525" customWidth="1"/>
    <col min="8978" max="8978" width="9.33203125" style="525" customWidth="1"/>
    <col min="8979" max="8979" width="1.33203125" style="525" customWidth="1"/>
    <col min="8980" max="8980" width="7.77734375" style="525" customWidth="1"/>
    <col min="8981" max="8981" width="1.33203125" style="525" customWidth="1"/>
    <col min="8982" max="8982" width="0.77734375" style="525" customWidth="1"/>
    <col min="8983" max="8983" width="9.33203125" style="525" customWidth="1"/>
    <col min="8984" max="8984" width="1.33203125" style="525" customWidth="1"/>
    <col min="8985" max="8985" width="0.88671875" style="525" customWidth="1"/>
    <col min="8986" max="8986" width="9.5546875" style="525" bestFit="1" customWidth="1"/>
    <col min="8987" max="8988" width="0.6640625" style="525" customWidth="1"/>
    <col min="8989" max="8989" width="9.6640625" style="525" customWidth="1"/>
    <col min="8990" max="8990" width="1.109375" style="525" customWidth="1"/>
    <col min="8991" max="8991" width="8.5546875" style="525" customWidth="1"/>
    <col min="8992" max="8992" width="14.5546875" style="525" customWidth="1"/>
    <col min="8993" max="8993" width="10" style="525" customWidth="1"/>
    <col min="8994" max="8994" width="7.77734375" style="525" bestFit="1" customWidth="1"/>
    <col min="8995" max="8995" width="9.88671875" style="525" customWidth="1"/>
    <col min="8996" max="9212" width="8.88671875" style="525"/>
    <col min="9213" max="9213" width="38.44140625" style="525" customWidth="1"/>
    <col min="9214" max="9214" width="8.5546875" style="525" customWidth="1"/>
    <col min="9215" max="9215" width="1.33203125" style="525" customWidth="1"/>
    <col min="9216" max="9216" width="8.88671875" style="525" customWidth="1"/>
    <col min="9217" max="9217" width="1.33203125" style="525" customWidth="1"/>
    <col min="9218" max="9218" width="9.33203125" style="525" customWidth="1"/>
    <col min="9219" max="9219" width="1.33203125" style="525" customWidth="1"/>
    <col min="9220" max="9220" width="10" style="525" customWidth="1"/>
    <col min="9221" max="9221" width="1.33203125" style="525" customWidth="1"/>
    <col min="9222" max="9222" width="9.109375" style="525" customWidth="1"/>
    <col min="9223" max="9223" width="1.33203125" style="525" customWidth="1"/>
    <col min="9224" max="9224" width="11.33203125" style="525" customWidth="1"/>
    <col min="9225" max="9225" width="1.33203125" style="525" customWidth="1"/>
    <col min="9226" max="9226" width="9.109375" style="525" customWidth="1"/>
    <col min="9227" max="9227" width="1.6640625" style="525" customWidth="1"/>
    <col min="9228" max="9228" width="11" style="525" customWidth="1"/>
    <col min="9229" max="9229" width="1.33203125" style="525" customWidth="1"/>
    <col min="9230" max="9230" width="10.77734375" style="525" customWidth="1"/>
    <col min="9231" max="9231" width="1.33203125" style="525" customWidth="1"/>
    <col min="9232" max="9232" width="10" style="525" customWidth="1"/>
    <col min="9233" max="9233" width="1.33203125" style="525" customWidth="1"/>
    <col min="9234" max="9234" width="9.33203125" style="525" customWidth="1"/>
    <col min="9235" max="9235" width="1.33203125" style="525" customWidth="1"/>
    <col min="9236" max="9236" width="7.77734375" style="525" customWidth="1"/>
    <col min="9237" max="9237" width="1.33203125" style="525" customWidth="1"/>
    <col min="9238" max="9238" width="0.77734375" style="525" customWidth="1"/>
    <col min="9239" max="9239" width="9.33203125" style="525" customWidth="1"/>
    <col min="9240" max="9240" width="1.33203125" style="525" customWidth="1"/>
    <col min="9241" max="9241" width="0.88671875" style="525" customWidth="1"/>
    <col min="9242" max="9242" width="9.5546875" style="525" bestFit="1" customWidth="1"/>
    <col min="9243" max="9244" width="0.6640625" style="525" customWidth="1"/>
    <col min="9245" max="9245" width="9.6640625" style="525" customWidth="1"/>
    <col min="9246" max="9246" width="1.109375" style="525" customWidth="1"/>
    <col min="9247" max="9247" width="8.5546875" style="525" customWidth="1"/>
    <col min="9248" max="9248" width="14.5546875" style="525" customWidth="1"/>
    <col min="9249" max="9249" width="10" style="525" customWidth="1"/>
    <col min="9250" max="9250" width="7.77734375" style="525" bestFit="1" customWidth="1"/>
    <col min="9251" max="9251" width="9.88671875" style="525" customWidth="1"/>
    <col min="9252" max="9468" width="8.88671875" style="525"/>
    <col min="9469" max="9469" width="38.44140625" style="525" customWidth="1"/>
    <col min="9470" max="9470" width="8.5546875" style="525" customWidth="1"/>
    <col min="9471" max="9471" width="1.33203125" style="525" customWidth="1"/>
    <col min="9472" max="9472" width="8.88671875" style="525" customWidth="1"/>
    <col min="9473" max="9473" width="1.33203125" style="525" customWidth="1"/>
    <col min="9474" max="9474" width="9.33203125" style="525" customWidth="1"/>
    <col min="9475" max="9475" width="1.33203125" style="525" customWidth="1"/>
    <col min="9476" max="9476" width="10" style="525" customWidth="1"/>
    <col min="9477" max="9477" width="1.33203125" style="525" customWidth="1"/>
    <col min="9478" max="9478" width="9.109375" style="525" customWidth="1"/>
    <col min="9479" max="9479" width="1.33203125" style="525" customWidth="1"/>
    <col min="9480" max="9480" width="11.33203125" style="525" customWidth="1"/>
    <col min="9481" max="9481" width="1.33203125" style="525" customWidth="1"/>
    <col min="9482" max="9482" width="9.109375" style="525" customWidth="1"/>
    <col min="9483" max="9483" width="1.6640625" style="525" customWidth="1"/>
    <col min="9484" max="9484" width="11" style="525" customWidth="1"/>
    <col min="9485" max="9485" width="1.33203125" style="525" customWidth="1"/>
    <col min="9486" max="9486" width="10.77734375" style="525" customWidth="1"/>
    <col min="9487" max="9487" width="1.33203125" style="525" customWidth="1"/>
    <col min="9488" max="9488" width="10" style="525" customWidth="1"/>
    <col min="9489" max="9489" width="1.33203125" style="525" customWidth="1"/>
    <col min="9490" max="9490" width="9.33203125" style="525" customWidth="1"/>
    <col min="9491" max="9491" width="1.33203125" style="525" customWidth="1"/>
    <col min="9492" max="9492" width="7.77734375" style="525" customWidth="1"/>
    <col min="9493" max="9493" width="1.33203125" style="525" customWidth="1"/>
    <col min="9494" max="9494" width="0.77734375" style="525" customWidth="1"/>
    <col min="9495" max="9495" width="9.33203125" style="525" customWidth="1"/>
    <col min="9496" max="9496" width="1.33203125" style="525" customWidth="1"/>
    <col min="9497" max="9497" width="0.88671875" style="525" customWidth="1"/>
    <col min="9498" max="9498" width="9.5546875" style="525" bestFit="1" customWidth="1"/>
    <col min="9499" max="9500" width="0.6640625" style="525" customWidth="1"/>
    <col min="9501" max="9501" width="9.6640625" style="525" customWidth="1"/>
    <col min="9502" max="9502" width="1.109375" style="525" customWidth="1"/>
    <col min="9503" max="9503" width="8.5546875" style="525" customWidth="1"/>
    <col min="9504" max="9504" width="14.5546875" style="525" customWidth="1"/>
    <col min="9505" max="9505" width="10" style="525" customWidth="1"/>
    <col min="9506" max="9506" width="7.77734375" style="525" bestFit="1" customWidth="1"/>
    <col min="9507" max="9507" width="9.88671875" style="525" customWidth="1"/>
    <col min="9508" max="9724" width="8.88671875" style="525"/>
    <col min="9725" max="9725" width="38.44140625" style="525" customWidth="1"/>
    <col min="9726" max="9726" width="8.5546875" style="525" customWidth="1"/>
    <col min="9727" max="9727" width="1.33203125" style="525" customWidth="1"/>
    <col min="9728" max="9728" width="8.88671875" style="525" customWidth="1"/>
    <col min="9729" max="9729" width="1.33203125" style="525" customWidth="1"/>
    <col min="9730" max="9730" width="9.33203125" style="525" customWidth="1"/>
    <col min="9731" max="9731" width="1.33203125" style="525" customWidth="1"/>
    <col min="9732" max="9732" width="10" style="525" customWidth="1"/>
    <col min="9733" max="9733" width="1.33203125" style="525" customWidth="1"/>
    <col min="9734" max="9734" width="9.109375" style="525" customWidth="1"/>
    <col min="9735" max="9735" width="1.33203125" style="525" customWidth="1"/>
    <col min="9736" max="9736" width="11.33203125" style="525" customWidth="1"/>
    <col min="9737" max="9737" width="1.33203125" style="525" customWidth="1"/>
    <col min="9738" max="9738" width="9.109375" style="525" customWidth="1"/>
    <col min="9739" max="9739" width="1.6640625" style="525" customWidth="1"/>
    <col min="9740" max="9740" width="11" style="525" customWidth="1"/>
    <col min="9741" max="9741" width="1.33203125" style="525" customWidth="1"/>
    <col min="9742" max="9742" width="10.77734375" style="525" customWidth="1"/>
    <col min="9743" max="9743" width="1.33203125" style="525" customWidth="1"/>
    <col min="9744" max="9744" width="10" style="525" customWidth="1"/>
    <col min="9745" max="9745" width="1.33203125" style="525" customWidth="1"/>
    <col min="9746" max="9746" width="9.33203125" style="525" customWidth="1"/>
    <col min="9747" max="9747" width="1.33203125" style="525" customWidth="1"/>
    <col min="9748" max="9748" width="7.77734375" style="525" customWidth="1"/>
    <col min="9749" max="9749" width="1.33203125" style="525" customWidth="1"/>
    <col min="9750" max="9750" width="0.77734375" style="525" customWidth="1"/>
    <col min="9751" max="9751" width="9.33203125" style="525" customWidth="1"/>
    <col min="9752" max="9752" width="1.33203125" style="525" customWidth="1"/>
    <col min="9753" max="9753" width="0.88671875" style="525" customWidth="1"/>
    <col min="9754" max="9754" width="9.5546875" style="525" bestFit="1" customWidth="1"/>
    <col min="9755" max="9756" width="0.6640625" style="525" customWidth="1"/>
    <col min="9757" max="9757" width="9.6640625" style="525" customWidth="1"/>
    <col min="9758" max="9758" width="1.109375" style="525" customWidth="1"/>
    <col min="9759" max="9759" width="8.5546875" style="525" customWidth="1"/>
    <col min="9760" max="9760" width="14.5546875" style="525" customWidth="1"/>
    <col min="9761" max="9761" width="10" style="525" customWidth="1"/>
    <col min="9762" max="9762" width="7.77734375" style="525" bestFit="1" customWidth="1"/>
    <col min="9763" max="9763" width="9.88671875" style="525" customWidth="1"/>
    <col min="9764" max="9980" width="8.88671875" style="525"/>
    <col min="9981" max="9981" width="38.44140625" style="525" customWidth="1"/>
    <col min="9982" max="9982" width="8.5546875" style="525" customWidth="1"/>
    <col min="9983" max="9983" width="1.33203125" style="525" customWidth="1"/>
    <col min="9984" max="9984" width="8.88671875" style="525" customWidth="1"/>
    <col min="9985" max="9985" width="1.33203125" style="525" customWidth="1"/>
    <col min="9986" max="9986" width="9.33203125" style="525" customWidth="1"/>
    <col min="9987" max="9987" width="1.33203125" style="525" customWidth="1"/>
    <col min="9988" max="9988" width="10" style="525" customWidth="1"/>
    <col min="9989" max="9989" width="1.33203125" style="525" customWidth="1"/>
    <col min="9990" max="9990" width="9.109375" style="525" customWidth="1"/>
    <col min="9991" max="9991" width="1.33203125" style="525" customWidth="1"/>
    <col min="9992" max="9992" width="11.33203125" style="525" customWidth="1"/>
    <col min="9993" max="9993" width="1.33203125" style="525" customWidth="1"/>
    <col min="9994" max="9994" width="9.109375" style="525" customWidth="1"/>
    <col min="9995" max="9995" width="1.6640625" style="525" customWidth="1"/>
    <col min="9996" max="9996" width="11" style="525" customWidth="1"/>
    <col min="9997" max="9997" width="1.33203125" style="525" customWidth="1"/>
    <col min="9998" max="9998" width="10.77734375" style="525" customWidth="1"/>
    <col min="9999" max="9999" width="1.33203125" style="525" customWidth="1"/>
    <col min="10000" max="10000" width="10" style="525" customWidth="1"/>
    <col min="10001" max="10001" width="1.33203125" style="525" customWidth="1"/>
    <col min="10002" max="10002" width="9.33203125" style="525" customWidth="1"/>
    <col min="10003" max="10003" width="1.33203125" style="525" customWidth="1"/>
    <col min="10004" max="10004" width="7.77734375" style="525" customWidth="1"/>
    <col min="10005" max="10005" width="1.33203125" style="525" customWidth="1"/>
    <col min="10006" max="10006" width="0.77734375" style="525" customWidth="1"/>
    <col min="10007" max="10007" width="9.33203125" style="525" customWidth="1"/>
    <col min="10008" max="10008" width="1.33203125" style="525" customWidth="1"/>
    <col min="10009" max="10009" width="0.88671875" style="525" customWidth="1"/>
    <col min="10010" max="10010" width="9.5546875" style="525" bestFit="1" customWidth="1"/>
    <col min="10011" max="10012" width="0.6640625" style="525" customWidth="1"/>
    <col min="10013" max="10013" width="9.6640625" style="525" customWidth="1"/>
    <col min="10014" max="10014" width="1.109375" style="525" customWidth="1"/>
    <col min="10015" max="10015" width="8.5546875" style="525" customWidth="1"/>
    <col min="10016" max="10016" width="14.5546875" style="525" customWidth="1"/>
    <col min="10017" max="10017" width="10" style="525" customWidth="1"/>
    <col min="10018" max="10018" width="7.77734375" style="525" bestFit="1" customWidth="1"/>
    <col min="10019" max="10019" width="9.88671875" style="525" customWidth="1"/>
    <col min="10020" max="10236" width="8.88671875" style="525"/>
    <col min="10237" max="10237" width="38.44140625" style="525" customWidth="1"/>
    <col min="10238" max="10238" width="8.5546875" style="525" customWidth="1"/>
    <col min="10239" max="10239" width="1.33203125" style="525" customWidth="1"/>
    <col min="10240" max="10240" width="8.88671875" style="525" customWidth="1"/>
    <col min="10241" max="10241" width="1.33203125" style="525" customWidth="1"/>
    <col min="10242" max="10242" width="9.33203125" style="525" customWidth="1"/>
    <col min="10243" max="10243" width="1.33203125" style="525" customWidth="1"/>
    <col min="10244" max="10244" width="10" style="525" customWidth="1"/>
    <col min="10245" max="10245" width="1.33203125" style="525" customWidth="1"/>
    <col min="10246" max="10246" width="9.109375" style="525" customWidth="1"/>
    <col min="10247" max="10247" width="1.33203125" style="525" customWidth="1"/>
    <col min="10248" max="10248" width="11.33203125" style="525" customWidth="1"/>
    <col min="10249" max="10249" width="1.33203125" style="525" customWidth="1"/>
    <col min="10250" max="10250" width="9.109375" style="525" customWidth="1"/>
    <col min="10251" max="10251" width="1.6640625" style="525" customWidth="1"/>
    <col min="10252" max="10252" width="11" style="525" customWidth="1"/>
    <col min="10253" max="10253" width="1.33203125" style="525" customWidth="1"/>
    <col min="10254" max="10254" width="10.77734375" style="525" customWidth="1"/>
    <col min="10255" max="10255" width="1.33203125" style="525" customWidth="1"/>
    <col min="10256" max="10256" width="10" style="525" customWidth="1"/>
    <col min="10257" max="10257" width="1.33203125" style="525" customWidth="1"/>
    <col min="10258" max="10258" width="9.33203125" style="525" customWidth="1"/>
    <col min="10259" max="10259" width="1.33203125" style="525" customWidth="1"/>
    <col min="10260" max="10260" width="7.77734375" style="525" customWidth="1"/>
    <col min="10261" max="10261" width="1.33203125" style="525" customWidth="1"/>
    <col min="10262" max="10262" width="0.77734375" style="525" customWidth="1"/>
    <col min="10263" max="10263" width="9.33203125" style="525" customWidth="1"/>
    <col min="10264" max="10264" width="1.33203125" style="525" customWidth="1"/>
    <col min="10265" max="10265" width="0.88671875" style="525" customWidth="1"/>
    <col min="10266" max="10266" width="9.5546875" style="525" bestFit="1" customWidth="1"/>
    <col min="10267" max="10268" width="0.6640625" style="525" customWidth="1"/>
    <col min="10269" max="10269" width="9.6640625" style="525" customWidth="1"/>
    <col min="10270" max="10270" width="1.109375" style="525" customWidth="1"/>
    <col min="10271" max="10271" width="8.5546875" style="525" customWidth="1"/>
    <col min="10272" max="10272" width="14.5546875" style="525" customWidth="1"/>
    <col min="10273" max="10273" width="10" style="525" customWidth="1"/>
    <col min="10274" max="10274" width="7.77734375" style="525" bestFit="1" customWidth="1"/>
    <col min="10275" max="10275" width="9.88671875" style="525" customWidth="1"/>
    <col min="10276" max="10492" width="8.88671875" style="525"/>
    <col min="10493" max="10493" width="38.44140625" style="525" customWidth="1"/>
    <col min="10494" max="10494" width="8.5546875" style="525" customWidth="1"/>
    <col min="10495" max="10495" width="1.33203125" style="525" customWidth="1"/>
    <col min="10496" max="10496" width="8.88671875" style="525" customWidth="1"/>
    <col min="10497" max="10497" width="1.33203125" style="525" customWidth="1"/>
    <col min="10498" max="10498" width="9.33203125" style="525" customWidth="1"/>
    <col min="10499" max="10499" width="1.33203125" style="525" customWidth="1"/>
    <col min="10500" max="10500" width="10" style="525" customWidth="1"/>
    <col min="10501" max="10501" width="1.33203125" style="525" customWidth="1"/>
    <col min="10502" max="10502" width="9.109375" style="525" customWidth="1"/>
    <col min="10503" max="10503" width="1.33203125" style="525" customWidth="1"/>
    <col min="10504" max="10504" width="11.33203125" style="525" customWidth="1"/>
    <col min="10505" max="10505" width="1.33203125" style="525" customWidth="1"/>
    <col min="10506" max="10506" width="9.109375" style="525" customWidth="1"/>
    <col min="10507" max="10507" width="1.6640625" style="525" customWidth="1"/>
    <col min="10508" max="10508" width="11" style="525" customWidth="1"/>
    <col min="10509" max="10509" width="1.33203125" style="525" customWidth="1"/>
    <col min="10510" max="10510" width="10.77734375" style="525" customWidth="1"/>
    <col min="10511" max="10511" width="1.33203125" style="525" customWidth="1"/>
    <col min="10512" max="10512" width="10" style="525" customWidth="1"/>
    <col min="10513" max="10513" width="1.33203125" style="525" customWidth="1"/>
    <col min="10514" max="10514" width="9.33203125" style="525" customWidth="1"/>
    <col min="10515" max="10515" width="1.33203125" style="525" customWidth="1"/>
    <col min="10516" max="10516" width="7.77734375" style="525" customWidth="1"/>
    <col min="10517" max="10517" width="1.33203125" style="525" customWidth="1"/>
    <col min="10518" max="10518" width="0.77734375" style="525" customWidth="1"/>
    <col min="10519" max="10519" width="9.33203125" style="525" customWidth="1"/>
    <col min="10520" max="10520" width="1.33203125" style="525" customWidth="1"/>
    <col min="10521" max="10521" width="0.88671875" style="525" customWidth="1"/>
    <col min="10522" max="10522" width="9.5546875" style="525" bestFit="1" customWidth="1"/>
    <col min="10523" max="10524" width="0.6640625" style="525" customWidth="1"/>
    <col min="10525" max="10525" width="9.6640625" style="525" customWidth="1"/>
    <col min="10526" max="10526" width="1.109375" style="525" customWidth="1"/>
    <col min="10527" max="10527" width="8.5546875" style="525" customWidth="1"/>
    <col min="10528" max="10528" width="14.5546875" style="525" customWidth="1"/>
    <col min="10529" max="10529" width="10" style="525" customWidth="1"/>
    <col min="10530" max="10530" width="7.77734375" style="525" bestFit="1" customWidth="1"/>
    <col min="10531" max="10531" width="9.88671875" style="525" customWidth="1"/>
    <col min="10532" max="10748" width="8.88671875" style="525"/>
    <col min="10749" max="10749" width="38.44140625" style="525" customWidth="1"/>
    <col min="10750" max="10750" width="8.5546875" style="525" customWidth="1"/>
    <col min="10751" max="10751" width="1.33203125" style="525" customWidth="1"/>
    <col min="10752" max="10752" width="8.88671875" style="525" customWidth="1"/>
    <col min="10753" max="10753" width="1.33203125" style="525" customWidth="1"/>
    <col min="10754" max="10754" width="9.33203125" style="525" customWidth="1"/>
    <col min="10755" max="10755" width="1.33203125" style="525" customWidth="1"/>
    <col min="10756" max="10756" width="10" style="525" customWidth="1"/>
    <col min="10757" max="10757" width="1.33203125" style="525" customWidth="1"/>
    <col min="10758" max="10758" width="9.109375" style="525" customWidth="1"/>
    <col min="10759" max="10759" width="1.33203125" style="525" customWidth="1"/>
    <col min="10760" max="10760" width="11.33203125" style="525" customWidth="1"/>
    <col min="10761" max="10761" width="1.33203125" style="525" customWidth="1"/>
    <col min="10762" max="10762" width="9.109375" style="525" customWidth="1"/>
    <col min="10763" max="10763" width="1.6640625" style="525" customWidth="1"/>
    <col min="10764" max="10764" width="11" style="525" customWidth="1"/>
    <col min="10765" max="10765" width="1.33203125" style="525" customWidth="1"/>
    <col min="10766" max="10766" width="10.77734375" style="525" customWidth="1"/>
    <col min="10767" max="10767" width="1.33203125" style="525" customWidth="1"/>
    <col min="10768" max="10768" width="10" style="525" customWidth="1"/>
    <col min="10769" max="10769" width="1.33203125" style="525" customWidth="1"/>
    <col min="10770" max="10770" width="9.33203125" style="525" customWidth="1"/>
    <col min="10771" max="10771" width="1.33203125" style="525" customWidth="1"/>
    <col min="10772" max="10772" width="7.77734375" style="525" customWidth="1"/>
    <col min="10773" max="10773" width="1.33203125" style="525" customWidth="1"/>
    <col min="10774" max="10774" width="0.77734375" style="525" customWidth="1"/>
    <col min="10775" max="10775" width="9.33203125" style="525" customWidth="1"/>
    <col min="10776" max="10776" width="1.33203125" style="525" customWidth="1"/>
    <col min="10777" max="10777" width="0.88671875" style="525" customWidth="1"/>
    <col min="10778" max="10778" width="9.5546875" style="525" bestFit="1" customWidth="1"/>
    <col min="10779" max="10780" width="0.6640625" style="525" customWidth="1"/>
    <col min="10781" max="10781" width="9.6640625" style="525" customWidth="1"/>
    <col min="10782" max="10782" width="1.109375" style="525" customWidth="1"/>
    <col min="10783" max="10783" width="8.5546875" style="525" customWidth="1"/>
    <col min="10784" max="10784" width="14.5546875" style="525" customWidth="1"/>
    <col min="10785" max="10785" width="10" style="525" customWidth="1"/>
    <col min="10786" max="10786" width="7.77734375" style="525" bestFit="1" customWidth="1"/>
    <col min="10787" max="10787" width="9.88671875" style="525" customWidth="1"/>
    <col min="10788" max="11004" width="8.88671875" style="525"/>
    <col min="11005" max="11005" width="38.44140625" style="525" customWidth="1"/>
    <col min="11006" max="11006" width="8.5546875" style="525" customWidth="1"/>
    <col min="11007" max="11007" width="1.33203125" style="525" customWidth="1"/>
    <col min="11008" max="11008" width="8.88671875" style="525" customWidth="1"/>
    <col min="11009" max="11009" width="1.33203125" style="525" customWidth="1"/>
    <col min="11010" max="11010" width="9.33203125" style="525" customWidth="1"/>
    <col min="11011" max="11011" width="1.33203125" style="525" customWidth="1"/>
    <col min="11012" max="11012" width="10" style="525" customWidth="1"/>
    <col min="11013" max="11013" width="1.33203125" style="525" customWidth="1"/>
    <col min="11014" max="11014" width="9.109375" style="525" customWidth="1"/>
    <col min="11015" max="11015" width="1.33203125" style="525" customWidth="1"/>
    <col min="11016" max="11016" width="11.33203125" style="525" customWidth="1"/>
    <col min="11017" max="11017" width="1.33203125" style="525" customWidth="1"/>
    <col min="11018" max="11018" width="9.109375" style="525" customWidth="1"/>
    <col min="11019" max="11019" width="1.6640625" style="525" customWidth="1"/>
    <col min="11020" max="11020" width="11" style="525" customWidth="1"/>
    <col min="11021" max="11021" width="1.33203125" style="525" customWidth="1"/>
    <col min="11022" max="11022" width="10.77734375" style="525" customWidth="1"/>
    <col min="11023" max="11023" width="1.33203125" style="525" customWidth="1"/>
    <col min="11024" max="11024" width="10" style="525" customWidth="1"/>
    <col min="11025" max="11025" width="1.33203125" style="525" customWidth="1"/>
    <col min="11026" max="11026" width="9.33203125" style="525" customWidth="1"/>
    <col min="11027" max="11027" width="1.33203125" style="525" customWidth="1"/>
    <col min="11028" max="11028" width="7.77734375" style="525" customWidth="1"/>
    <col min="11029" max="11029" width="1.33203125" style="525" customWidth="1"/>
    <col min="11030" max="11030" width="0.77734375" style="525" customWidth="1"/>
    <col min="11031" max="11031" width="9.33203125" style="525" customWidth="1"/>
    <col min="11032" max="11032" width="1.33203125" style="525" customWidth="1"/>
    <col min="11033" max="11033" width="0.88671875" style="525" customWidth="1"/>
    <col min="11034" max="11034" width="9.5546875" style="525" bestFit="1" customWidth="1"/>
    <col min="11035" max="11036" width="0.6640625" style="525" customWidth="1"/>
    <col min="11037" max="11037" width="9.6640625" style="525" customWidth="1"/>
    <col min="11038" max="11038" width="1.109375" style="525" customWidth="1"/>
    <col min="11039" max="11039" width="8.5546875" style="525" customWidth="1"/>
    <col min="11040" max="11040" width="14.5546875" style="525" customWidth="1"/>
    <col min="11041" max="11041" width="10" style="525" customWidth="1"/>
    <col min="11042" max="11042" width="7.77734375" style="525" bestFit="1" customWidth="1"/>
    <col min="11043" max="11043" width="9.88671875" style="525" customWidth="1"/>
    <col min="11044" max="11260" width="8.88671875" style="525"/>
    <col min="11261" max="11261" width="38.44140625" style="525" customWidth="1"/>
    <col min="11262" max="11262" width="8.5546875" style="525" customWidth="1"/>
    <col min="11263" max="11263" width="1.33203125" style="525" customWidth="1"/>
    <col min="11264" max="11264" width="8.88671875" style="525" customWidth="1"/>
    <col min="11265" max="11265" width="1.33203125" style="525" customWidth="1"/>
    <col min="11266" max="11266" width="9.33203125" style="525" customWidth="1"/>
    <col min="11267" max="11267" width="1.33203125" style="525" customWidth="1"/>
    <col min="11268" max="11268" width="10" style="525" customWidth="1"/>
    <col min="11269" max="11269" width="1.33203125" style="525" customWidth="1"/>
    <col min="11270" max="11270" width="9.109375" style="525" customWidth="1"/>
    <col min="11271" max="11271" width="1.33203125" style="525" customWidth="1"/>
    <col min="11272" max="11272" width="11.33203125" style="525" customWidth="1"/>
    <col min="11273" max="11273" width="1.33203125" style="525" customWidth="1"/>
    <col min="11274" max="11274" width="9.109375" style="525" customWidth="1"/>
    <col min="11275" max="11275" width="1.6640625" style="525" customWidth="1"/>
    <col min="11276" max="11276" width="11" style="525" customWidth="1"/>
    <col min="11277" max="11277" width="1.33203125" style="525" customWidth="1"/>
    <col min="11278" max="11278" width="10.77734375" style="525" customWidth="1"/>
    <col min="11279" max="11279" width="1.33203125" style="525" customWidth="1"/>
    <col min="11280" max="11280" width="10" style="525" customWidth="1"/>
    <col min="11281" max="11281" width="1.33203125" style="525" customWidth="1"/>
    <col min="11282" max="11282" width="9.33203125" style="525" customWidth="1"/>
    <col min="11283" max="11283" width="1.33203125" style="525" customWidth="1"/>
    <col min="11284" max="11284" width="7.77734375" style="525" customWidth="1"/>
    <col min="11285" max="11285" width="1.33203125" style="525" customWidth="1"/>
    <col min="11286" max="11286" width="0.77734375" style="525" customWidth="1"/>
    <col min="11287" max="11287" width="9.33203125" style="525" customWidth="1"/>
    <col min="11288" max="11288" width="1.33203125" style="525" customWidth="1"/>
    <col min="11289" max="11289" width="0.88671875" style="525" customWidth="1"/>
    <col min="11290" max="11290" width="9.5546875" style="525" bestFit="1" customWidth="1"/>
    <col min="11291" max="11292" width="0.6640625" style="525" customWidth="1"/>
    <col min="11293" max="11293" width="9.6640625" style="525" customWidth="1"/>
    <col min="11294" max="11294" width="1.109375" style="525" customWidth="1"/>
    <col min="11295" max="11295" width="8.5546875" style="525" customWidth="1"/>
    <col min="11296" max="11296" width="14.5546875" style="525" customWidth="1"/>
    <col min="11297" max="11297" width="10" style="525" customWidth="1"/>
    <col min="11298" max="11298" width="7.77734375" style="525" bestFit="1" customWidth="1"/>
    <col min="11299" max="11299" width="9.88671875" style="525" customWidth="1"/>
    <col min="11300" max="11516" width="8.88671875" style="525"/>
    <col min="11517" max="11517" width="38.44140625" style="525" customWidth="1"/>
    <col min="11518" max="11518" width="8.5546875" style="525" customWidth="1"/>
    <col min="11519" max="11519" width="1.33203125" style="525" customWidth="1"/>
    <col min="11520" max="11520" width="8.88671875" style="525" customWidth="1"/>
    <col min="11521" max="11521" width="1.33203125" style="525" customWidth="1"/>
    <col min="11522" max="11522" width="9.33203125" style="525" customWidth="1"/>
    <col min="11523" max="11523" width="1.33203125" style="525" customWidth="1"/>
    <col min="11524" max="11524" width="10" style="525" customWidth="1"/>
    <col min="11525" max="11525" width="1.33203125" style="525" customWidth="1"/>
    <col min="11526" max="11526" width="9.109375" style="525" customWidth="1"/>
    <col min="11527" max="11527" width="1.33203125" style="525" customWidth="1"/>
    <col min="11528" max="11528" width="11.33203125" style="525" customWidth="1"/>
    <col min="11529" max="11529" width="1.33203125" style="525" customWidth="1"/>
    <col min="11530" max="11530" width="9.109375" style="525" customWidth="1"/>
    <col min="11531" max="11531" width="1.6640625" style="525" customWidth="1"/>
    <col min="11532" max="11532" width="11" style="525" customWidth="1"/>
    <col min="11533" max="11533" width="1.33203125" style="525" customWidth="1"/>
    <col min="11534" max="11534" width="10.77734375" style="525" customWidth="1"/>
    <col min="11535" max="11535" width="1.33203125" style="525" customWidth="1"/>
    <col min="11536" max="11536" width="10" style="525" customWidth="1"/>
    <col min="11537" max="11537" width="1.33203125" style="525" customWidth="1"/>
    <col min="11538" max="11538" width="9.33203125" style="525" customWidth="1"/>
    <col min="11539" max="11539" width="1.33203125" style="525" customWidth="1"/>
    <col min="11540" max="11540" width="7.77734375" style="525" customWidth="1"/>
    <col min="11541" max="11541" width="1.33203125" style="525" customWidth="1"/>
    <col min="11542" max="11542" width="0.77734375" style="525" customWidth="1"/>
    <col min="11543" max="11543" width="9.33203125" style="525" customWidth="1"/>
    <col min="11544" max="11544" width="1.33203125" style="525" customWidth="1"/>
    <col min="11545" max="11545" width="0.88671875" style="525" customWidth="1"/>
    <col min="11546" max="11546" width="9.5546875" style="525" bestFit="1" customWidth="1"/>
    <col min="11547" max="11548" width="0.6640625" style="525" customWidth="1"/>
    <col min="11549" max="11549" width="9.6640625" style="525" customWidth="1"/>
    <col min="11550" max="11550" width="1.109375" style="525" customWidth="1"/>
    <col min="11551" max="11551" width="8.5546875" style="525" customWidth="1"/>
    <col min="11552" max="11552" width="14.5546875" style="525" customWidth="1"/>
    <col min="11553" max="11553" width="10" style="525" customWidth="1"/>
    <col min="11554" max="11554" width="7.77734375" style="525" bestFit="1" customWidth="1"/>
    <col min="11555" max="11555" width="9.88671875" style="525" customWidth="1"/>
    <col min="11556" max="11772" width="8.88671875" style="525"/>
    <col min="11773" max="11773" width="38.44140625" style="525" customWidth="1"/>
    <col min="11774" max="11774" width="8.5546875" style="525" customWidth="1"/>
    <col min="11775" max="11775" width="1.33203125" style="525" customWidth="1"/>
    <col min="11776" max="11776" width="8.88671875" style="525" customWidth="1"/>
    <col min="11777" max="11777" width="1.33203125" style="525" customWidth="1"/>
    <col min="11778" max="11778" width="9.33203125" style="525" customWidth="1"/>
    <col min="11779" max="11779" width="1.33203125" style="525" customWidth="1"/>
    <col min="11780" max="11780" width="10" style="525" customWidth="1"/>
    <col min="11781" max="11781" width="1.33203125" style="525" customWidth="1"/>
    <col min="11782" max="11782" width="9.109375" style="525" customWidth="1"/>
    <col min="11783" max="11783" width="1.33203125" style="525" customWidth="1"/>
    <col min="11784" max="11784" width="11.33203125" style="525" customWidth="1"/>
    <col min="11785" max="11785" width="1.33203125" style="525" customWidth="1"/>
    <col min="11786" max="11786" width="9.109375" style="525" customWidth="1"/>
    <col min="11787" max="11787" width="1.6640625" style="525" customWidth="1"/>
    <col min="11788" max="11788" width="11" style="525" customWidth="1"/>
    <col min="11789" max="11789" width="1.33203125" style="525" customWidth="1"/>
    <col min="11790" max="11790" width="10.77734375" style="525" customWidth="1"/>
    <col min="11791" max="11791" width="1.33203125" style="525" customWidth="1"/>
    <col min="11792" max="11792" width="10" style="525" customWidth="1"/>
    <col min="11793" max="11793" width="1.33203125" style="525" customWidth="1"/>
    <col min="11794" max="11794" width="9.33203125" style="525" customWidth="1"/>
    <col min="11795" max="11795" width="1.33203125" style="525" customWidth="1"/>
    <col min="11796" max="11796" width="7.77734375" style="525" customWidth="1"/>
    <col min="11797" max="11797" width="1.33203125" style="525" customWidth="1"/>
    <col min="11798" max="11798" width="0.77734375" style="525" customWidth="1"/>
    <col min="11799" max="11799" width="9.33203125" style="525" customWidth="1"/>
    <col min="11800" max="11800" width="1.33203125" style="525" customWidth="1"/>
    <col min="11801" max="11801" width="0.88671875" style="525" customWidth="1"/>
    <col min="11802" max="11802" width="9.5546875" style="525" bestFit="1" customWidth="1"/>
    <col min="11803" max="11804" width="0.6640625" style="525" customWidth="1"/>
    <col min="11805" max="11805" width="9.6640625" style="525" customWidth="1"/>
    <col min="11806" max="11806" width="1.109375" style="525" customWidth="1"/>
    <col min="11807" max="11807" width="8.5546875" style="525" customWidth="1"/>
    <col min="11808" max="11808" width="14.5546875" style="525" customWidth="1"/>
    <col min="11809" max="11809" width="10" style="525" customWidth="1"/>
    <col min="11810" max="11810" width="7.77734375" style="525" bestFit="1" customWidth="1"/>
    <col min="11811" max="11811" width="9.88671875" style="525" customWidth="1"/>
    <col min="11812" max="12028" width="8.88671875" style="525"/>
    <col min="12029" max="12029" width="38.44140625" style="525" customWidth="1"/>
    <col min="12030" max="12030" width="8.5546875" style="525" customWidth="1"/>
    <col min="12031" max="12031" width="1.33203125" style="525" customWidth="1"/>
    <col min="12032" max="12032" width="8.88671875" style="525" customWidth="1"/>
    <col min="12033" max="12033" width="1.33203125" style="525" customWidth="1"/>
    <col min="12034" max="12034" width="9.33203125" style="525" customWidth="1"/>
    <col min="12035" max="12035" width="1.33203125" style="525" customWidth="1"/>
    <col min="12036" max="12036" width="10" style="525" customWidth="1"/>
    <col min="12037" max="12037" width="1.33203125" style="525" customWidth="1"/>
    <col min="12038" max="12038" width="9.109375" style="525" customWidth="1"/>
    <col min="12039" max="12039" width="1.33203125" style="525" customWidth="1"/>
    <col min="12040" max="12040" width="11.33203125" style="525" customWidth="1"/>
    <col min="12041" max="12041" width="1.33203125" style="525" customWidth="1"/>
    <col min="12042" max="12042" width="9.109375" style="525" customWidth="1"/>
    <col min="12043" max="12043" width="1.6640625" style="525" customWidth="1"/>
    <col min="12044" max="12044" width="11" style="525" customWidth="1"/>
    <col min="12045" max="12045" width="1.33203125" style="525" customWidth="1"/>
    <col min="12046" max="12046" width="10.77734375" style="525" customWidth="1"/>
    <col min="12047" max="12047" width="1.33203125" style="525" customWidth="1"/>
    <col min="12048" max="12048" width="10" style="525" customWidth="1"/>
    <col min="12049" max="12049" width="1.33203125" style="525" customWidth="1"/>
    <col min="12050" max="12050" width="9.33203125" style="525" customWidth="1"/>
    <col min="12051" max="12051" width="1.33203125" style="525" customWidth="1"/>
    <col min="12052" max="12052" width="7.77734375" style="525" customWidth="1"/>
    <col min="12053" max="12053" width="1.33203125" style="525" customWidth="1"/>
    <col min="12054" max="12054" width="0.77734375" style="525" customWidth="1"/>
    <col min="12055" max="12055" width="9.33203125" style="525" customWidth="1"/>
    <col min="12056" max="12056" width="1.33203125" style="525" customWidth="1"/>
    <col min="12057" max="12057" width="0.88671875" style="525" customWidth="1"/>
    <col min="12058" max="12058" width="9.5546875" style="525" bestFit="1" customWidth="1"/>
    <col min="12059" max="12060" width="0.6640625" style="525" customWidth="1"/>
    <col min="12061" max="12061" width="9.6640625" style="525" customWidth="1"/>
    <col min="12062" max="12062" width="1.109375" style="525" customWidth="1"/>
    <col min="12063" max="12063" width="8.5546875" style="525" customWidth="1"/>
    <col min="12064" max="12064" width="14.5546875" style="525" customWidth="1"/>
    <col min="12065" max="12065" width="10" style="525" customWidth="1"/>
    <col min="12066" max="12066" width="7.77734375" style="525" bestFit="1" customWidth="1"/>
    <col min="12067" max="12067" width="9.88671875" style="525" customWidth="1"/>
    <col min="12068" max="12284" width="8.88671875" style="525"/>
    <col min="12285" max="12285" width="38.44140625" style="525" customWidth="1"/>
    <col min="12286" max="12286" width="8.5546875" style="525" customWidth="1"/>
    <col min="12287" max="12287" width="1.33203125" style="525" customWidth="1"/>
    <col min="12288" max="12288" width="8.88671875" style="525" customWidth="1"/>
    <col min="12289" max="12289" width="1.33203125" style="525" customWidth="1"/>
    <col min="12290" max="12290" width="9.33203125" style="525" customWidth="1"/>
    <col min="12291" max="12291" width="1.33203125" style="525" customWidth="1"/>
    <col min="12292" max="12292" width="10" style="525" customWidth="1"/>
    <col min="12293" max="12293" width="1.33203125" style="525" customWidth="1"/>
    <col min="12294" max="12294" width="9.109375" style="525" customWidth="1"/>
    <col min="12295" max="12295" width="1.33203125" style="525" customWidth="1"/>
    <col min="12296" max="12296" width="11.33203125" style="525" customWidth="1"/>
    <col min="12297" max="12297" width="1.33203125" style="525" customWidth="1"/>
    <col min="12298" max="12298" width="9.109375" style="525" customWidth="1"/>
    <col min="12299" max="12299" width="1.6640625" style="525" customWidth="1"/>
    <col min="12300" max="12300" width="11" style="525" customWidth="1"/>
    <col min="12301" max="12301" width="1.33203125" style="525" customWidth="1"/>
    <col min="12302" max="12302" width="10.77734375" style="525" customWidth="1"/>
    <col min="12303" max="12303" width="1.33203125" style="525" customWidth="1"/>
    <col min="12304" max="12304" width="10" style="525" customWidth="1"/>
    <col min="12305" max="12305" width="1.33203125" style="525" customWidth="1"/>
    <col min="12306" max="12306" width="9.33203125" style="525" customWidth="1"/>
    <col min="12307" max="12307" width="1.33203125" style="525" customWidth="1"/>
    <col min="12308" max="12308" width="7.77734375" style="525" customWidth="1"/>
    <col min="12309" max="12309" width="1.33203125" style="525" customWidth="1"/>
    <col min="12310" max="12310" width="0.77734375" style="525" customWidth="1"/>
    <col min="12311" max="12311" width="9.33203125" style="525" customWidth="1"/>
    <col min="12312" max="12312" width="1.33203125" style="525" customWidth="1"/>
    <col min="12313" max="12313" width="0.88671875" style="525" customWidth="1"/>
    <col min="12314" max="12314" width="9.5546875" style="525" bestFit="1" customWidth="1"/>
    <col min="12315" max="12316" width="0.6640625" style="525" customWidth="1"/>
    <col min="12317" max="12317" width="9.6640625" style="525" customWidth="1"/>
    <col min="12318" max="12318" width="1.109375" style="525" customWidth="1"/>
    <col min="12319" max="12319" width="8.5546875" style="525" customWidth="1"/>
    <col min="12320" max="12320" width="14.5546875" style="525" customWidth="1"/>
    <col min="12321" max="12321" width="10" style="525" customWidth="1"/>
    <col min="12322" max="12322" width="7.77734375" style="525" bestFit="1" customWidth="1"/>
    <col min="12323" max="12323" width="9.88671875" style="525" customWidth="1"/>
    <col min="12324" max="12540" width="8.88671875" style="525"/>
    <col min="12541" max="12541" width="38.44140625" style="525" customWidth="1"/>
    <col min="12542" max="12542" width="8.5546875" style="525" customWidth="1"/>
    <col min="12543" max="12543" width="1.33203125" style="525" customWidth="1"/>
    <col min="12544" max="12544" width="8.88671875" style="525" customWidth="1"/>
    <col min="12545" max="12545" width="1.33203125" style="525" customWidth="1"/>
    <col min="12546" max="12546" width="9.33203125" style="525" customWidth="1"/>
    <col min="12547" max="12547" width="1.33203125" style="525" customWidth="1"/>
    <col min="12548" max="12548" width="10" style="525" customWidth="1"/>
    <col min="12549" max="12549" width="1.33203125" style="525" customWidth="1"/>
    <col min="12550" max="12550" width="9.109375" style="525" customWidth="1"/>
    <col min="12551" max="12551" width="1.33203125" style="525" customWidth="1"/>
    <col min="12552" max="12552" width="11.33203125" style="525" customWidth="1"/>
    <col min="12553" max="12553" width="1.33203125" style="525" customWidth="1"/>
    <col min="12554" max="12554" width="9.109375" style="525" customWidth="1"/>
    <col min="12555" max="12555" width="1.6640625" style="525" customWidth="1"/>
    <col min="12556" max="12556" width="11" style="525" customWidth="1"/>
    <col min="12557" max="12557" width="1.33203125" style="525" customWidth="1"/>
    <col min="12558" max="12558" width="10.77734375" style="525" customWidth="1"/>
    <col min="12559" max="12559" width="1.33203125" style="525" customWidth="1"/>
    <col min="12560" max="12560" width="10" style="525" customWidth="1"/>
    <col min="12561" max="12561" width="1.33203125" style="525" customWidth="1"/>
    <col min="12562" max="12562" width="9.33203125" style="525" customWidth="1"/>
    <col min="12563" max="12563" width="1.33203125" style="525" customWidth="1"/>
    <col min="12564" max="12564" width="7.77734375" style="525" customWidth="1"/>
    <col min="12565" max="12565" width="1.33203125" style="525" customWidth="1"/>
    <col min="12566" max="12566" width="0.77734375" style="525" customWidth="1"/>
    <col min="12567" max="12567" width="9.33203125" style="525" customWidth="1"/>
    <col min="12568" max="12568" width="1.33203125" style="525" customWidth="1"/>
    <col min="12569" max="12569" width="0.88671875" style="525" customWidth="1"/>
    <col min="12570" max="12570" width="9.5546875" style="525" bestFit="1" customWidth="1"/>
    <col min="12571" max="12572" width="0.6640625" style="525" customWidth="1"/>
    <col min="12573" max="12573" width="9.6640625" style="525" customWidth="1"/>
    <col min="12574" max="12574" width="1.109375" style="525" customWidth="1"/>
    <col min="12575" max="12575" width="8.5546875" style="525" customWidth="1"/>
    <col min="12576" max="12576" width="14.5546875" style="525" customWidth="1"/>
    <col min="12577" max="12577" width="10" style="525" customWidth="1"/>
    <col min="12578" max="12578" width="7.77734375" style="525" bestFit="1" customWidth="1"/>
    <col min="12579" max="12579" width="9.88671875" style="525" customWidth="1"/>
    <col min="12580" max="12796" width="8.88671875" style="525"/>
    <col min="12797" max="12797" width="38.44140625" style="525" customWidth="1"/>
    <col min="12798" max="12798" width="8.5546875" style="525" customWidth="1"/>
    <col min="12799" max="12799" width="1.33203125" style="525" customWidth="1"/>
    <col min="12800" max="12800" width="8.88671875" style="525" customWidth="1"/>
    <col min="12801" max="12801" width="1.33203125" style="525" customWidth="1"/>
    <col min="12802" max="12802" width="9.33203125" style="525" customWidth="1"/>
    <col min="12803" max="12803" width="1.33203125" style="525" customWidth="1"/>
    <col min="12804" max="12804" width="10" style="525" customWidth="1"/>
    <col min="12805" max="12805" width="1.33203125" style="525" customWidth="1"/>
    <col min="12806" max="12806" width="9.109375" style="525" customWidth="1"/>
    <col min="12807" max="12807" width="1.33203125" style="525" customWidth="1"/>
    <col min="12808" max="12808" width="11.33203125" style="525" customWidth="1"/>
    <col min="12809" max="12809" width="1.33203125" style="525" customWidth="1"/>
    <col min="12810" max="12810" width="9.109375" style="525" customWidth="1"/>
    <col min="12811" max="12811" width="1.6640625" style="525" customWidth="1"/>
    <col min="12812" max="12812" width="11" style="525" customWidth="1"/>
    <col min="12813" max="12813" width="1.33203125" style="525" customWidth="1"/>
    <col min="12814" max="12814" width="10.77734375" style="525" customWidth="1"/>
    <col min="12815" max="12815" width="1.33203125" style="525" customWidth="1"/>
    <col min="12816" max="12816" width="10" style="525" customWidth="1"/>
    <col min="12817" max="12817" width="1.33203125" style="525" customWidth="1"/>
    <col min="12818" max="12818" width="9.33203125" style="525" customWidth="1"/>
    <col min="12819" max="12819" width="1.33203125" style="525" customWidth="1"/>
    <col min="12820" max="12820" width="7.77734375" style="525" customWidth="1"/>
    <col min="12821" max="12821" width="1.33203125" style="525" customWidth="1"/>
    <col min="12822" max="12822" width="0.77734375" style="525" customWidth="1"/>
    <col min="12823" max="12823" width="9.33203125" style="525" customWidth="1"/>
    <col min="12824" max="12824" width="1.33203125" style="525" customWidth="1"/>
    <col min="12825" max="12825" width="0.88671875" style="525" customWidth="1"/>
    <col min="12826" max="12826" width="9.5546875" style="525" bestFit="1" customWidth="1"/>
    <col min="12827" max="12828" width="0.6640625" style="525" customWidth="1"/>
    <col min="12829" max="12829" width="9.6640625" style="525" customWidth="1"/>
    <col min="12830" max="12830" width="1.109375" style="525" customWidth="1"/>
    <col min="12831" max="12831" width="8.5546875" style="525" customWidth="1"/>
    <col min="12832" max="12832" width="14.5546875" style="525" customWidth="1"/>
    <col min="12833" max="12833" width="10" style="525" customWidth="1"/>
    <col min="12834" max="12834" width="7.77734375" style="525" bestFit="1" customWidth="1"/>
    <col min="12835" max="12835" width="9.88671875" style="525" customWidth="1"/>
    <col min="12836" max="13052" width="8.88671875" style="525"/>
    <col min="13053" max="13053" width="38.44140625" style="525" customWidth="1"/>
    <col min="13054" max="13054" width="8.5546875" style="525" customWidth="1"/>
    <col min="13055" max="13055" width="1.33203125" style="525" customWidth="1"/>
    <col min="13056" max="13056" width="8.88671875" style="525" customWidth="1"/>
    <col min="13057" max="13057" width="1.33203125" style="525" customWidth="1"/>
    <col min="13058" max="13058" width="9.33203125" style="525" customWidth="1"/>
    <col min="13059" max="13059" width="1.33203125" style="525" customWidth="1"/>
    <col min="13060" max="13060" width="10" style="525" customWidth="1"/>
    <col min="13061" max="13061" width="1.33203125" style="525" customWidth="1"/>
    <col min="13062" max="13062" width="9.109375" style="525" customWidth="1"/>
    <col min="13063" max="13063" width="1.33203125" style="525" customWidth="1"/>
    <col min="13064" max="13064" width="11.33203125" style="525" customWidth="1"/>
    <col min="13065" max="13065" width="1.33203125" style="525" customWidth="1"/>
    <col min="13066" max="13066" width="9.109375" style="525" customWidth="1"/>
    <col min="13067" max="13067" width="1.6640625" style="525" customWidth="1"/>
    <col min="13068" max="13068" width="11" style="525" customWidth="1"/>
    <col min="13069" max="13069" width="1.33203125" style="525" customWidth="1"/>
    <col min="13070" max="13070" width="10.77734375" style="525" customWidth="1"/>
    <col min="13071" max="13071" width="1.33203125" style="525" customWidth="1"/>
    <col min="13072" max="13072" width="10" style="525" customWidth="1"/>
    <col min="13073" max="13073" width="1.33203125" style="525" customWidth="1"/>
    <col min="13074" max="13074" width="9.33203125" style="525" customWidth="1"/>
    <col min="13075" max="13075" width="1.33203125" style="525" customWidth="1"/>
    <col min="13076" max="13076" width="7.77734375" style="525" customWidth="1"/>
    <col min="13077" max="13077" width="1.33203125" style="525" customWidth="1"/>
    <col min="13078" max="13078" width="0.77734375" style="525" customWidth="1"/>
    <col min="13079" max="13079" width="9.33203125" style="525" customWidth="1"/>
    <col min="13080" max="13080" width="1.33203125" style="525" customWidth="1"/>
    <col min="13081" max="13081" width="0.88671875" style="525" customWidth="1"/>
    <col min="13082" max="13082" width="9.5546875" style="525" bestFit="1" customWidth="1"/>
    <col min="13083" max="13084" width="0.6640625" style="525" customWidth="1"/>
    <col min="13085" max="13085" width="9.6640625" style="525" customWidth="1"/>
    <col min="13086" max="13086" width="1.109375" style="525" customWidth="1"/>
    <col min="13087" max="13087" width="8.5546875" style="525" customWidth="1"/>
    <col min="13088" max="13088" width="14.5546875" style="525" customWidth="1"/>
    <col min="13089" max="13089" width="10" style="525" customWidth="1"/>
    <col min="13090" max="13090" width="7.77734375" style="525" bestFit="1" customWidth="1"/>
    <col min="13091" max="13091" width="9.88671875" style="525" customWidth="1"/>
    <col min="13092" max="13308" width="8.88671875" style="525"/>
    <col min="13309" max="13309" width="38.44140625" style="525" customWidth="1"/>
    <col min="13310" max="13310" width="8.5546875" style="525" customWidth="1"/>
    <col min="13311" max="13311" width="1.33203125" style="525" customWidth="1"/>
    <col min="13312" max="13312" width="8.88671875" style="525" customWidth="1"/>
    <col min="13313" max="13313" width="1.33203125" style="525" customWidth="1"/>
    <col min="13314" max="13314" width="9.33203125" style="525" customWidth="1"/>
    <col min="13315" max="13315" width="1.33203125" style="525" customWidth="1"/>
    <col min="13316" max="13316" width="10" style="525" customWidth="1"/>
    <col min="13317" max="13317" width="1.33203125" style="525" customWidth="1"/>
    <col min="13318" max="13318" width="9.109375" style="525" customWidth="1"/>
    <col min="13319" max="13319" width="1.33203125" style="525" customWidth="1"/>
    <col min="13320" max="13320" width="11.33203125" style="525" customWidth="1"/>
    <col min="13321" max="13321" width="1.33203125" style="525" customWidth="1"/>
    <col min="13322" max="13322" width="9.109375" style="525" customWidth="1"/>
    <col min="13323" max="13323" width="1.6640625" style="525" customWidth="1"/>
    <col min="13324" max="13324" width="11" style="525" customWidth="1"/>
    <col min="13325" max="13325" width="1.33203125" style="525" customWidth="1"/>
    <col min="13326" max="13326" width="10.77734375" style="525" customWidth="1"/>
    <col min="13327" max="13327" width="1.33203125" style="525" customWidth="1"/>
    <col min="13328" max="13328" width="10" style="525" customWidth="1"/>
    <col min="13329" max="13329" width="1.33203125" style="525" customWidth="1"/>
    <col min="13330" max="13330" width="9.33203125" style="525" customWidth="1"/>
    <col min="13331" max="13331" width="1.33203125" style="525" customWidth="1"/>
    <col min="13332" max="13332" width="7.77734375" style="525" customWidth="1"/>
    <col min="13333" max="13333" width="1.33203125" style="525" customWidth="1"/>
    <col min="13334" max="13334" width="0.77734375" style="525" customWidth="1"/>
    <col min="13335" max="13335" width="9.33203125" style="525" customWidth="1"/>
    <col min="13336" max="13336" width="1.33203125" style="525" customWidth="1"/>
    <col min="13337" max="13337" width="0.88671875" style="525" customWidth="1"/>
    <col min="13338" max="13338" width="9.5546875" style="525" bestFit="1" customWidth="1"/>
    <col min="13339" max="13340" width="0.6640625" style="525" customWidth="1"/>
    <col min="13341" max="13341" width="9.6640625" style="525" customWidth="1"/>
    <col min="13342" max="13342" width="1.109375" style="525" customWidth="1"/>
    <col min="13343" max="13343" width="8.5546875" style="525" customWidth="1"/>
    <col min="13344" max="13344" width="14.5546875" style="525" customWidth="1"/>
    <col min="13345" max="13345" width="10" style="525" customWidth="1"/>
    <col min="13346" max="13346" width="7.77734375" style="525" bestFit="1" customWidth="1"/>
    <col min="13347" max="13347" width="9.88671875" style="525" customWidth="1"/>
    <col min="13348" max="13564" width="8.88671875" style="525"/>
    <col min="13565" max="13565" width="38.44140625" style="525" customWidth="1"/>
    <col min="13566" max="13566" width="8.5546875" style="525" customWidth="1"/>
    <col min="13567" max="13567" width="1.33203125" style="525" customWidth="1"/>
    <col min="13568" max="13568" width="8.88671875" style="525" customWidth="1"/>
    <col min="13569" max="13569" width="1.33203125" style="525" customWidth="1"/>
    <col min="13570" max="13570" width="9.33203125" style="525" customWidth="1"/>
    <col min="13571" max="13571" width="1.33203125" style="525" customWidth="1"/>
    <col min="13572" max="13572" width="10" style="525" customWidth="1"/>
    <col min="13573" max="13573" width="1.33203125" style="525" customWidth="1"/>
    <col min="13574" max="13574" width="9.109375" style="525" customWidth="1"/>
    <col min="13575" max="13575" width="1.33203125" style="525" customWidth="1"/>
    <col min="13576" max="13576" width="11.33203125" style="525" customWidth="1"/>
    <col min="13577" max="13577" width="1.33203125" style="525" customWidth="1"/>
    <col min="13578" max="13578" width="9.109375" style="525" customWidth="1"/>
    <col min="13579" max="13579" width="1.6640625" style="525" customWidth="1"/>
    <col min="13580" max="13580" width="11" style="525" customWidth="1"/>
    <col min="13581" max="13581" width="1.33203125" style="525" customWidth="1"/>
    <col min="13582" max="13582" width="10.77734375" style="525" customWidth="1"/>
    <col min="13583" max="13583" width="1.33203125" style="525" customWidth="1"/>
    <col min="13584" max="13584" width="10" style="525" customWidth="1"/>
    <col min="13585" max="13585" width="1.33203125" style="525" customWidth="1"/>
    <col min="13586" max="13586" width="9.33203125" style="525" customWidth="1"/>
    <col min="13587" max="13587" width="1.33203125" style="525" customWidth="1"/>
    <col min="13588" max="13588" width="7.77734375" style="525" customWidth="1"/>
    <col min="13589" max="13589" width="1.33203125" style="525" customWidth="1"/>
    <col min="13590" max="13590" width="0.77734375" style="525" customWidth="1"/>
    <col min="13591" max="13591" width="9.33203125" style="525" customWidth="1"/>
    <col min="13592" max="13592" width="1.33203125" style="525" customWidth="1"/>
    <col min="13593" max="13593" width="0.88671875" style="525" customWidth="1"/>
    <col min="13594" max="13594" width="9.5546875" style="525" bestFit="1" customWidth="1"/>
    <col min="13595" max="13596" width="0.6640625" style="525" customWidth="1"/>
    <col min="13597" max="13597" width="9.6640625" style="525" customWidth="1"/>
    <col min="13598" max="13598" width="1.109375" style="525" customWidth="1"/>
    <col min="13599" max="13599" width="8.5546875" style="525" customWidth="1"/>
    <col min="13600" max="13600" width="14.5546875" style="525" customWidth="1"/>
    <col min="13601" max="13601" width="10" style="525" customWidth="1"/>
    <col min="13602" max="13602" width="7.77734375" style="525" bestFit="1" customWidth="1"/>
    <col min="13603" max="13603" width="9.88671875" style="525" customWidth="1"/>
    <col min="13604" max="13820" width="8.88671875" style="525"/>
    <col min="13821" max="13821" width="38.44140625" style="525" customWidth="1"/>
    <col min="13822" max="13822" width="8.5546875" style="525" customWidth="1"/>
    <col min="13823" max="13823" width="1.33203125" style="525" customWidth="1"/>
    <col min="13824" max="13824" width="8.88671875" style="525" customWidth="1"/>
    <col min="13825" max="13825" width="1.33203125" style="525" customWidth="1"/>
    <col min="13826" max="13826" width="9.33203125" style="525" customWidth="1"/>
    <col min="13827" max="13827" width="1.33203125" style="525" customWidth="1"/>
    <col min="13828" max="13828" width="10" style="525" customWidth="1"/>
    <col min="13829" max="13829" width="1.33203125" style="525" customWidth="1"/>
    <col min="13830" max="13830" width="9.109375" style="525" customWidth="1"/>
    <col min="13831" max="13831" width="1.33203125" style="525" customWidth="1"/>
    <col min="13832" max="13832" width="11.33203125" style="525" customWidth="1"/>
    <col min="13833" max="13833" width="1.33203125" style="525" customWidth="1"/>
    <col min="13834" max="13834" width="9.109375" style="525" customWidth="1"/>
    <col min="13835" max="13835" width="1.6640625" style="525" customWidth="1"/>
    <col min="13836" max="13836" width="11" style="525" customWidth="1"/>
    <col min="13837" max="13837" width="1.33203125" style="525" customWidth="1"/>
    <col min="13838" max="13838" width="10.77734375" style="525" customWidth="1"/>
    <col min="13839" max="13839" width="1.33203125" style="525" customWidth="1"/>
    <col min="13840" max="13840" width="10" style="525" customWidth="1"/>
    <col min="13841" max="13841" width="1.33203125" style="525" customWidth="1"/>
    <col min="13842" max="13842" width="9.33203125" style="525" customWidth="1"/>
    <col min="13843" max="13843" width="1.33203125" style="525" customWidth="1"/>
    <col min="13844" max="13844" width="7.77734375" style="525" customWidth="1"/>
    <col min="13845" max="13845" width="1.33203125" style="525" customWidth="1"/>
    <col min="13846" max="13846" width="0.77734375" style="525" customWidth="1"/>
    <col min="13847" max="13847" width="9.33203125" style="525" customWidth="1"/>
    <col min="13848" max="13848" width="1.33203125" style="525" customWidth="1"/>
    <col min="13849" max="13849" width="0.88671875" style="525" customWidth="1"/>
    <col min="13850" max="13850" width="9.5546875" style="525" bestFit="1" customWidth="1"/>
    <col min="13851" max="13852" width="0.6640625" style="525" customWidth="1"/>
    <col min="13853" max="13853" width="9.6640625" style="525" customWidth="1"/>
    <col min="13854" max="13854" width="1.109375" style="525" customWidth="1"/>
    <col min="13855" max="13855" width="8.5546875" style="525" customWidth="1"/>
    <col min="13856" max="13856" width="14.5546875" style="525" customWidth="1"/>
    <col min="13857" max="13857" width="10" style="525" customWidth="1"/>
    <col min="13858" max="13858" width="7.77734375" style="525" bestFit="1" customWidth="1"/>
    <col min="13859" max="13859" width="9.88671875" style="525" customWidth="1"/>
    <col min="13860" max="14076" width="8.88671875" style="525"/>
    <col min="14077" max="14077" width="38.44140625" style="525" customWidth="1"/>
    <col min="14078" max="14078" width="8.5546875" style="525" customWidth="1"/>
    <col min="14079" max="14079" width="1.33203125" style="525" customWidth="1"/>
    <col min="14080" max="14080" width="8.88671875" style="525" customWidth="1"/>
    <col min="14081" max="14081" width="1.33203125" style="525" customWidth="1"/>
    <col min="14082" max="14082" width="9.33203125" style="525" customWidth="1"/>
    <col min="14083" max="14083" width="1.33203125" style="525" customWidth="1"/>
    <col min="14084" max="14084" width="10" style="525" customWidth="1"/>
    <col min="14085" max="14085" width="1.33203125" style="525" customWidth="1"/>
    <col min="14086" max="14086" width="9.109375" style="525" customWidth="1"/>
    <col min="14087" max="14087" width="1.33203125" style="525" customWidth="1"/>
    <col min="14088" max="14088" width="11.33203125" style="525" customWidth="1"/>
    <col min="14089" max="14089" width="1.33203125" style="525" customWidth="1"/>
    <col min="14090" max="14090" width="9.109375" style="525" customWidth="1"/>
    <col min="14091" max="14091" width="1.6640625" style="525" customWidth="1"/>
    <col min="14092" max="14092" width="11" style="525" customWidth="1"/>
    <col min="14093" max="14093" width="1.33203125" style="525" customWidth="1"/>
    <col min="14094" max="14094" width="10.77734375" style="525" customWidth="1"/>
    <col min="14095" max="14095" width="1.33203125" style="525" customWidth="1"/>
    <col min="14096" max="14096" width="10" style="525" customWidth="1"/>
    <col min="14097" max="14097" width="1.33203125" style="525" customWidth="1"/>
    <col min="14098" max="14098" width="9.33203125" style="525" customWidth="1"/>
    <col min="14099" max="14099" width="1.33203125" style="525" customWidth="1"/>
    <col min="14100" max="14100" width="7.77734375" style="525" customWidth="1"/>
    <col min="14101" max="14101" width="1.33203125" style="525" customWidth="1"/>
    <col min="14102" max="14102" width="0.77734375" style="525" customWidth="1"/>
    <col min="14103" max="14103" width="9.33203125" style="525" customWidth="1"/>
    <col min="14104" max="14104" width="1.33203125" style="525" customWidth="1"/>
    <col min="14105" max="14105" width="0.88671875" style="525" customWidth="1"/>
    <col min="14106" max="14106" width="9.5546875" style="525" bestFit="1" customWidth="1"/>
    <col min="14107" max="14108" width="0.6640625" style="525" customWidth="1"/>
    <col min="14109" max="14109" width="9.6640625" style="525" customWidth="1"/>
    <col min="14110" max="14110" width="1.109375" style="525" customWidth="1"/>
    <col min="14111" max="14111" width="8.5546875" style="525" customWidth="1"/>
    <col min="14112" max="14112" width="14.5546875" style="525" customWidth="1"/>
    <col min="14113" max="14113" width="10" style="525" customWidth="1"/>
    <col min="14114" max="14114" width="7.77734375" style="525" bestFit="1" customWidth="1"/>
    <col min="14115" max="14115" width="9.88671875" style="525" customWidth="1"/>
    <col min="14116" max="14332" width="8.88671875" style="525"/>
    <col min="14333" max="14333" width="38.44140625" style="525" customWidth="1"/>
    <col min="14334" max="14334" width="8.5546875" style="525" customWidth="1"/>
    <col min="14335" max="14335" width="1.33203125" style="525" customWidth="1"/>
    <col min="14336" max="14336" width="8.88671875" style="525" customWidth="1"/>
    <col min="14337" max="14337" width="1.33203125" style="525" customWidth="1"/>
    <col min="14338" max="14338" width="9.33203125" style="525" customWidth="1"/>
    <col min="14339" max="14339" width="1.33203125" style="525" customWidth="1"/>
    <col min="14340" max="14340" width="10" style="525" customWidth="1"/>
    <col min="14341" max="14341" width="1.33203125" style="525" customWidth="1"/>
    <col min="14342" max="14342" width="9.109375" style="525" customWidth="1"/>
    <col min="14343" max="14343" width="1.33203125" style="525" customWidth="1"/>
    <col min="14344" max="14344" width="11.33203125" style="525" customWidth="1"/>
    <col min="14345" max="14345" width="1.33203125" style="525" customWidth="1"/>
    <col min="14346" max="14346" width="9.109375" style="525" customWidth="1"/>
    <col min="14347" max="14347" width="1.6640625" style="525" customWidth="1"/>
    <col min="14348" max="14348" width="11" style="525" customWidth="1"/>
    <col min="14349" max="14349" width="1.33203125" style="525" customWidth="1"/>
    <col min="14350" max="14350" width="10.77734375" style="525" customWidth="1"/>
    <col min="14351" max="14351" width="1.33203125" style="525" customWidth="1"/>
    <col min="14352" max="14352" width="10" style="525" customWidth="1"/>
    <col min="14353" max="14353" width="1.33203125" style="525" customWidth="1"/>
    <col min="14354" max="14354" width="9.33203125" style="525" customWidth="1"/>
    <col min="14355" max="14355" width="1.33203125" style="525" customWidth="1"/>
    <col min="14356" max="14356" width="7.77734375" style="525" customWidth="1"/>
    <col min="14357" max="14357" width="1.33203125" style="525" customWidth="1"/>
    <col min="14358" max="14358" width="0.77734375" style="525" customWidth="1"/>
    <col min="14359" max="14359" width="9.33203125" style="525" customWidth="1"/>
    <col min="14360" max="14360" width="1.33203125" style="525" customWidth="1"/>
    <col min="14361" max="14361" width="0.88671875" style="525" customWidth="1"/>
    <col min="14362" max="14362" width="9.5546875" style="525" bestFit="1" customWidth="1"/>
    <col min="14363" max="14364" width="0.6640625" style="525" customWidth="1"/>
    <col min="14365" max="14365" width="9.6640625" style="525" customWidth="1"/>
    <col min="14366" max="14366" width="1.109375" style="525" customWidth="1"/>
    <col min="14367" max="14367" width="8.5546875" style="525" customWidth="1"/>
    <col min="14368" max="14368" width="14.5546875" style="525" customWidth="1"/>
    <col min="14369" max="14369" width="10" style="525" customWidth="1"/>
    <col min="14370" max="14370" width="7.77734375" style="525" bestFit="1" customWidth="1"/>
    <col min="14371" max="14371" width="9.88671875" style="525" customWidth="1"/>
    <col min="14372" max="14588" width="8.88671875" style="525"/>
    <col min="14589" max="14589" width="38.44140625" style="525" customWidth="1"/>
    <col min="14590" max="14590" width="8.5546875" style="525" customWidth="1"/>
    <col min="14591" max="14591" width="1.33203125" style="525" customWidth="1"/>
    <col min="14592" max="14592" width="8.88671875" style="525" customWidth="1"/>
    <col min="14593" max="14593" width="1.33203125" style="525" customWidth="1"/>
    <col min="14594" max="14594" width="9.33203125" style="525" customWidth="1"/>
    <col min="14595" max="14595" width="1.33203125" style="525" customWidth="1"/>
    <col min="14596" max="14596" width="10" style="525" customWidth="1"/>
    <col min="14597" max="14597" width="1.33203125" style="525" customWidth="1"/>
    <col min="14598" max="14598" width="9.109375" style="525" customWidth="1"/>
    <col min="14599" max="14599" width="1.33203125" style="525" customWidth="1"/>
    <col min="14600" max="14600" width="11.33203125" style="525" customWidth="1"/>
    <col min="14601" max="14601" width="1.33203125" style="525" customWidth="1"/>
    <col min="14602" max="14602" width="9.109375" style="525" customWidth="1"/>
    <col min="14603" max="14603" width="1.6640625" style="525" customWidth="1"/>
    <col min="14604" max="14604" width="11" style="525" customWidth="1"/>
    <col min="14605" max="14605" width="1.33203125" style="525" customWidth="1"/>
    <col min="14606" max="14606" width="10.77734375" style="525" customWidth="1"/>
    <col min="14607" max="14607" width="1.33203125" style="525" customWidth="1"/>
    <col min="14608" max="14608" width="10" style="525" customWidth="1"/>
    <col min="14609" max="14609" width="1.33203125" style="525" customWidth="1"/>
    <col min="14610" max="14610" width="9.33203125" style="525" customWidth="1"/>
    <col min="14611" max="14611" width="1.33203125" style="525" customWidth="1"/>
    <col min="14612" max="14612" width="7.77734375" style="525" customWidth="1"/>
    <col min="14613" max="14613" width="1.33203125" style="525" customWidth="1"/>
    <col min="14614" max="14614" width="0.77734375" style="525" customWidth="1"/>
    <col min="14615" max="14615" width="9.33203125" style="525" customWidth="1"/>
    <col min="14616" max="14616" width="1.33203125" style="525" customWidth="1"/>
    <col min="14617" max="14617" width="0.88671875" style="525" customWidth="1"/>
    <col min="14618" max="14618" width="9.5546875" style="525" bestFit="1" customWidth="1"/>
    <col min="14619" max="14620" width="0.6640625" style="525" customWidth="1"/>
    <col min="14621" max="14621" width="9.6640625" style="525" customWidth="1"/>
    <col min="14622" max="14622" width="1.109375" style="525" customWidth="1"/>
    <col min="14623" max="14623" width="8.5546875" style="525" customWidth="1"/>
    <col min="14624" max="14624" width="14.5546875" style="525" customWidth="1"/>
    <col min="14625" max="14625" width="10" style="525" customWidth="1"/>
    <col min="14626" max="14626" width="7.77734375" style="525" bestFit="1" customWidth="1"/>
    <col min="14627" max="14627" width="9.88671875" style="525" customWidth="1"/>
    <col min="14628" max="14844" width="8.88671875" style="525"/>
    <col min="14845" max="14845" width="38.44140625" style="525" customWidth="1"/>
    <col min="14846" max="14846" width="8.5546875" style="525" customWidth="1"/>
    <col min="14847" max="14847" width="1.33203125" style="525" customWidth="1"/>
    <col min="14848" max="14848" width="8.88671875" style="525" customWidth="1"/>
    <col min="14849" max="14849" width="1.33203125" style="525" customWidth="1"/>
    <col min="14850" max="14850" width="9.33203125" style="525" customWidth="1"/>
    <col min="14851" max="14851" width="1.33203125" style="525" customWidth="1"/>
    <col min="14852" max="14852" width="10" style="525" customWidth="1"/>
    <col min="14853" max="14853" width="1.33203125" style="525" customWidth="1"/>
    <col min="14854" max="14854" width="9.109375" style="525" customWidth="1"/>
    <col min="14855" max="14855" width="1.33203125" style="525" customWidth="1"/>
    <col min="14856" max="14856" width="11.33203125" style="525" customWidth="1"/>
    <col min="14857" max="14857" width="1.33203125" style="525" customWidth="1"/>
    <col min="14858" max="14858" width="9.109375" style="525" customWidth="1"/>
    <col min="14859" max="14859" width="1.6640625" style="525" customWidth="1"/>
    <col min="14860" max="14860" width="11" style="525" customWidth="1"/>
    <col min="14861" max="14861" width="1.33203125" style="525" customWidth="1"/>
    <col min="14862" max="14862" width="10.77734375" style="525" customWidth="1"/>
    <col min="14863" max="14863" width="1.33203125" style="525" customWidth="1"/>
    <col min="14864" max="14864" width="10" style="525" customWidth="1"/>
    <col min="14865" max="14865" width="1.33203125" style="525" customWidth="1"/>
    <col min="14866" max="14866" width="9.33203125" style="525" customWidth="1"/>
    <col min="14867" max="14867" width="1.33203125" style="525" customWidth="1"/>
    <col min="14868" max="14868" width="7.77734375" style="525" customWidth="1"/>
    <col min="14869" max="14869" width="1.33203125" style="525" customWidth="1"/>
    <col min="14870" max="14870" width="0.77734375" style="525" customWidth="1"/>
    <col min="14871" max="14871" width="9.33203125" style="525" customWidth="1"/>
    <col min="14872" max="14872" width="1.33203125" style="525" customWidth="1"/>
    <col min="14873" max="14873" width="0.88671875" style="525" customWidth="1"/>
    <col min="14874" max="14874" width="9.5546875" style="525" bestFit="1" customWidth="1"/>
    <col min="14875" max="14876" width="0.6640625" style="525" customWidth="1"/>
    <col min="14877" max="14877" width="9.6640625" style="525" customWidth="1"/>
    <col min="14878" max="14878" width="1.109375" style="525" customWidth="1"/>
    <col min="14879" max="14879" width="8.5546875" style="525" customWidth="1"/>
    <col min="14880" max="14880" width="14.5546875" style="525" customWidth="1"/>
    <col min="14881" max="14881" width="10" style="525" customWidth="1"/>
    <col min="14882" max="14882" width="7.77734375" style="525" bestFit="1" customWidth="1"/>
    <col min="14883" max="14883" width="9.88671875" style="525" customWidth="1"/>
    <col min="14884" max="15100" width="8.88671875" style="525"/>
    <col min="15101" max="15101" width="38.44140625" style="525" customWidth="1"/>
    <col min="15102" max="15102" width="8.5546875" style="525" customWidth="1"/>
    <col min="15103" max="15103" width="1.33203125" style="525" customWidth="1"/>
    <col min="15104" max="15104" width="8.88671875" style="525" customWidth="1"/>
    <col min="15105" max="15105" width="1.33203125" style="525" customWidth="1"/>
    <col min="15106" max="15106" width="9.33203125" style="525" customWidth="1"/>
    <col min="15107" max="15107" width="1.33203125" style="525" customWidth="1"/>
    <col min="15108" max="15108" width="10" style="525" customWidth="1"/>
    <col min="15109" max="15109" width="1.33203125" style="525" customWidth="1"/>
    <col min="15110" max="15110" width="9.109375" style="525" customWidth="1"/>
    <col min="15111" max="15111" width="1.33203125" style="525" customWidth="1"/>
    <col min="15112" max="15112" width="11.33203125" style="525" customWidth="1"/>
    <col min="15113" max="15113" width="1.33203125" style="525" customWidth="1"/>
    <col min="15114" max="15114" width="9.109375" style="525" customWidth="1"/>
    <col min="15115" max="15115" width="1.6640625" style="525" customWidth="1"/>
    <col min="15116" max="15116" width="11" style="525" customWidth="1"/>
    <col min="15117" max="15117" width="1.33203125" style="525" customWidth="1"/>
    <col min="15118" max="15118" width="10.77734375" style="525" customWidth="1"/>
    <col min="15119" max="15119" width="1.33203125" style="525" customWidth="1"/>
    <col min="15120" max="15120" width="10" style="525" customWidth="1"/>
    <col min="15121" max="15121" width="1.33203125" style="525" customWidth="1"/>
    <col min="15122" max="15122" width="9.33203125" style="525" customWidth="1"/>
    <col min="15123" max="15123" width="1.33203125" style="525" customWidth="1"/>
    <col min="15124" max="15124" width="7.77734375" style="525" customWidth="1"/>
    <col min="15125" max="15125" width="1.33203125" style="525" customWidth="1"/>
    <col min="15126" max="15126" width="0.77734375" style="525" customWidth="1"/>
    <col min="15127" max="15127" width="9.33203125" style="525" customWidth="1"/>
    <col min="15128" max="15128" width="1.33203125" style="525" customWidth="1"/>
    <col min="15129" max="15129" width="0.88671875" style="525" customWidth="1"/>
    <col min="15130" max="15130" width="9.5546875" style="525" bestFit="1" customWidth="1"/>
    <col min="15131" max="15132" width="0.6640625" style="525" customWidth="1"/>
    <col min="15133" max="15133" width="9.6640625" style="525" customWidth="1"/>
    <col min="15134" max="15134" width="1.109375" style="525" customWidth="1"/>
    <col min="15135" max="15135" width="8.5546875" style="525" customWidth="1"/>
    <col min="15136" max="15136" width="14.5546875" style="525" customWidth="1"/>
    <col min="15137" max="15137" width="10" style="525" customWidth="1"/>
    <col min="15138" max="15138" width="7.77734375" style="525" bestFit="1" customWidth="1"/>
    <col min="15139" max="15139" width="9.88671875" style="525" customWidth="1"/>
    <col min="15140" max="15356" width="8.88671875" style="525"/>
    <col min="15357" max="15357" width="38.44140625" style="525" customWidth="1"/>
    <col min="15358" max="15358" width="8.5546875" style="525" customWidth="1"/>
    <col min="15359" max="15359" width="1.33203125" style="525" customWidth="1"/>
    <col min="15360" max="15360" width="8.88671875" style="525" customWidth="1"/>
    <col min="15361" max="15361" width="1.33203125" style="525" customWidth="1"/>
    <col min="15362" max="15362" width="9.33203125" style="525" customWidth="1"/>
    <col min="15363" max="15363" width="1.33203125" style="525" customWidth="1"/>
    <col min="15364" max="15364" width="10" style="525" customWidth="1"/>
    <col min="15365" max="15365" width="1.33203125" style="525" customWidth="1"/>
    <col min="15366" max="15366" width="9.109375" style="525" customWidth="1"/>
    <col min="15367" max="15367" width="1.33203125" style="525" customWidth="1"/>
    <col min="15368" max="15368" width="11.33203125" style="525" customWidth="1"/>
    <col min="15369" max="15369" width="1.33203125" style="525" customWidth="1"/>
    <col min="15370" max="15370" width="9.109375" style="525" customWidth="1"/>
    <col min="15371" max="15371" width="1.6640625" style="525" customWidth="1"/>
    <col min="15372" max="15372" width="11" style="525" customWidth="1"/>
    <col min="15373" max="15373" width="1.33203125" style="525" customWidth="1"/>
    <col min="15374" max="15374" width="10.77734375" style="525" customWidth="1"/>
    <col min="15375" max="15375" width="1.33203125" style="525" customWidth="1"/>
    <col min="15376" max="15376" width="10" style="525" customWidth="1"/>
    <col min="15377" max="15377" width="1.33203125" style="525" customWidth="1"/>
    <col min="15378" max="15378" width="9.33203125" style="525" customWidth="1"/>
    <col min="15379" max="15379" width="1.33203125" style="525" customWidth="1"/>
    <col min="15380" max="15380" width="7.77734375" style="525" customWidth="1"/>
    <col min="15381" max="15381" width="1.33203125" style="525" customWidth="1"/>
    <col min="15382" max="15382" width="0.77734375" style="525" customWidth="1"/>
    <col min="15383" max="15383" width="9.33203125" style="525" customWidth="1"/>
    <col min="15384" max="15384" width="1.33203125" style="525" customWidth="1"/>
    <col min="15385" max="15385" width="0.88671875" style="525" customWidth="1"/>
    <col min="15386" max="15386" width="9.5546875" style="525" bestFit="1" customWidth="1"/>
    <col min="15387" max="15388" width="0.6640625" style="525" customWidth="1"/>
    <col min="15389" max="15389" width="9.6640625" style="525" customWidth="1"/>
    <col min="15390" max="15390" width="1.109375" style="525" customWidth="1"/>
    <col min="15391" max="15391" width="8.5546875" style="525" customWidth="1"/>
    <col min="15392" max="15392" width="14.5546875" style="525" customWidth="1"/>
    <col min="15393" max="15393" width="10" style="525" customWidth="1"/>
    <col min="15394" max="15394" width="7.77734375" style="525" bestFit="1" customWidth="1"/>
    <col min="15395" max="15395" width="9.88671875" style="525" customWidth="1"/>
    <col min="15396" max="15612" width="8.88671875" style="525"/>
    <col min="15613" max="15613" width="38.44140625" style="525" customWidth="1"/>
    <col min="15614" max="15614" width="8.5546875" style="525" customWidth="1"/>
    <col min="15615" max="15615" width="1.33203125" style="525" customWidth="1"/>
    <col min="15616" max="15616" width="8.88671875" style="525" customWidth="1"/>
    <col min="15617" max="15617" width="1.33203125" style="525" customWidth="1"/>
    <col min="15618" max="15618" width="9.33203125" style="525" customWidth="1"/>
    <col min="15619" max="15619" width="1.33203125" style="525" customWidth="1"/>
    <col min="15620" max="15620" width="10" style="525" customWidth="1"/>
    <col min="15621" max="15621" width="1.33203125" style="525" customWidth="1"/>
    <col min="15622" max="15622" width="9.109375" style="525" customWidth="1"/>
    <col min="15623" max="15623" width="1.33203125" style="525" customWidth="1"/>
    <col min="15624" max="15624" width="11.33203125" style="525" customWidth="1"/>
    <col min="15625" max="15625" width="1.33203125" style="525" customWidth="1"/>
    <col min="15626" max="15626" width="9.109375" style="525" customWidth="1"/>
    <col min="15627" max="15627" width="1.6640625" style="525" customWidth="1"/>
    <col min="15628" max="15628" width="11" style="525" customWidth="1"/>
    <col min="15629" max="15629" width="1.33203125" style="525" customWidth="1"/>
    <col min="15630" max="15630" width="10.77734375" style="525" customWidth="1"/>
    <col min="15631" max="15631" width="1.33203125" style="525" customWidth="1"/>
    <col min="15632" max="15632" width="10" style="525" customWidth="1"/>
    <col min="15633" max="15633" width="1.33203125" style="525" customWidth="1"/>
    <col min="15634" max="15634" width="9.33203125" style="525" customWidth="1"/>
    <col min="15635" max="15635" width="1.33203125" style="525" customWidth="1"/>
    <col min="15636" max="15636" width="7.77734375" style="525" customWidth="1"/>
    <col min="15637" max="15637" width="1.33203125" style="525" customWidth="1"/>
    <col min="15638" max="15638" width="0.77734375" style="525" customWidth="1"/>
    <col min="15639" max="15639" width="9.33203125" style="525" customWidth="1"/>
    <col min="15640" max="15640" width="1.33203125" style="525" customWidth="1"/>
    <col min="15641" max="15641" width="0.88671875" style="525" customWidth="1"/>
    <col min="15642" max="15642" width="9.5546875" style="525" bestFit="1" customWidth="1"/>
    <col min="15643" max="15644" width="0.6640625" style="525" customWidth="1"/>
    <col min="15645" max="15645" width="9.6640625" style="525" customWidth="1"/>
    <col min="15646" max="15646" width="1.109375" style="525" customWidth="1"/>
    <col min="15647" max="15647" width="8.5546875" style="525" customWidth="1"/>
    <col min="15648" max="15648" width="14.5546875" style="525" customWidth="1"/>
    <col min="15649" max="15649" width="10" style="525" customWidth="1"/>
    <col min="15650" max="15650" width="7.77734375" style="525" bestFit="1" customWidth="1"/>
    <col min="15651" max="15651" width="9.88671875" style="525" customWidth="1"/>
    <col min="15652" max="15868" width="8.88671875" style="525"/>
    <col min="15869" max="15869" width="38.44140625" style="525" customWidth="1"/>
    <col min="15870" max="15870" width="8.5546875" style="525" customWidth="1"/>
    <col min="15871" max="15871" width="1.33203125" style="525" customWidth="1"/>
    <col min="15872" max="15872" width="8.88671875" style="525" customWidth="1"/>
    <col min="15873" max="15873" width="1.33203125" style="525" customWidth="1"/>
    <col min="15874" max="15874" width="9.33203125" style="525" customWidth="1"/>
    <col min="15875" max="15875" width="1.33203125" style="525" customWidth="1"/>
    <col min="15876" max="15876" width="10" style="525" customWidth="1"/>
    <col min="15877" max="15877" width="1.33203125" style="525" customWidth="1"/>
    <col min="15878" max="15878" width="9.109375" style="525" customWidth="1"/>
    <col min="15879" max="15879" width="1.33203125" style="525" customWidth="1"/>
    <col min="15880" max="15880" width="11.33203125" style="525" customWidth="1"/>
    <col min="15881" max="15881" width="1.33203125" style="525" customWidth="1"/>
    <col min="15882" max="15882" width="9.109375" style="525" customWidth="1"/>
    <col min="15883" max="15883" width="1.6640625" style="525" customWidth="1"/>
    <col min="15884" max="15884" width="11" style="525" customWidth="1"/>
    <col min="15885" max="15885" width="1.33203125" style="525" customWidth="1"/>
    <col min="15886" max="15886" width="10.77734375" style="525" customWidth="1"/>
    <col min="15887" max="15887" width="1.33203125" style="525" customWidth="1"/>
    <col min="15888" max="15888" width="10" style="525" customWidth="1"/>
    <col min="15889" max="15889" width="1.33203125" style="525" customWidth="1"/>
    <col min="15890" max="15890" width="9.33203125" style="525" customWidth="1"/>
    <col min="15891" max="15891" width="1.33203125" style="525" customWidth="1"/>
    <col min="15892" max="15892" width="7.77734375" style="525" customWidth="1"/>
    <col min="15893" max="15893" width="1.33203125" style="525" customWidth="1"/>
    <col min="15894" max="15894" width="0.77734375" style="525" customWidth="1"/>
    <col min="15895" max="15895" width="9.33203125" style="525" customWidth="1"/>
    <col min="15896" max="15896" width="1.33203125" style="525" customWidth="1"/>
    <col min="15897" max="15897" width="0.88671875" style="525" customWidth="1"/>
    <col min="15898" max="15898" width="9.5546875" style="525" bestFit="1" customWidth="1"/>
    <col min="15899" max="15900" width="0.6640625" style="525" customWidth="1"/>
    <col min="15901" max="15901" width="9.6640625" style="525" customWidth="1"/>
    <col min="15902" max="15902" width="1.109375" style="525" customWidth="1"/>
    <col min="15903" max="15903" width="8.5546875" style="525" customWidth="1"/>
    <col min="15904" max="15904" width="14.5546875" style="525" customWidth="1"/>
    <col min="15905" max="15905" width="10" style="525" customWidth="1"/>
    <col min="15906" max="15906" width="7.77734375" style="525" bestFit="1" customWidth="1"/>
    <col min="15907" max="15907" width="9.88671875" style="525" customWidth="1"/>
    <col min="15908" max="16124" width="8.88671875" style="525"/>
    <col min="16125" max="16125" width="38.44140625" style="525" customWidth="1"/>
    <col min="16126" max="16126" width="8.5546875" style="525" customWidth="1"/>
    <col min="16127" max="16127" width="1.33203125" style="525" customWidth="1"/>
    <col min="16128" max="16128" width="8.88671875" style="525" customWidth="1"/>
    <col min="16129" max="16129" width="1.33203125" style="525" customWidth="1"/>
    <col min="16130" max="16130" width="9.33203125" style="525" customWidth="1"/>
    <col min="16131" max="16131" width="1.33203125" style="525" customWidth="1"/>
    <col min="16132" max="16132" width="10" style="525" customWidth="1"/>
    <col min="16133" max="16133" width="1.33203125" style="525" customWidth="1"/>
    <col min="16134" max="16134" width="9.109375" style="525" customWidth="1"/>
    <col min="16135" max="16135" width="1.33203125" style="525" customWidth="1"/>
    <col min="16136" max="16136" width="11.33203125" style="525" customWidth="1"/>
    <col min="16137" max="16137" width="1.33203125" style="525" customWidth="1"/>
    <col min="16138" max="16138" width="9.109375" style="525" customWidth="1"/>
    <col min="16139" max="16139" width="1.6640625" style="525" customWidth="1"/>
    <col min="16140" max="16140" width="11" style="525" customWidth="1"/>
    <col min="16141" max="16141" width="1.33203125" style="525" customWidth="1"/>
    <col min="16142" max="16142" width="10.77734375" style="525" customWidth="1"/>
    <col min="16143" max="16143" width="1.33203125" style="525" customWidth="1"/>
    <col min="16144" max="16144" width="10" style="525" customWidth="1"/>
    <col min="16145" max="16145" width="1.33203125" style="525" customWidth="1"/>
    <col min="16146" max="16146" width="9.33203125" style="525" customWidth="1"/>
    <col min="16147" max="16147" width="1.33203125" style="525" customWidth="1"/>
    <col min="16148" max="16148" width="7.77734375" style="525" customWidth="1"/>
    <col min="16149" max="16149" width="1.33203125" style="525" customWidth="1"/>
    <col min="16150" max="16150" width="0.77734375" style="525" customWidth="1"/>
    <col min="16151" max="16151" width="9.33203125" style="525" customWidth="1"/>
    <col min="16152" max="16152" width="1.33203125" style="525" customWidth="1"/>
    <col min="16153" max="16153" width="0.88671875" style="525" customWidth="1"/>
    <col min="16154" max="16154" width="9.5546875" style="525" bestFit="1" customWidth="1"/>
    <col min="16155" max="16156" width="0.6640625" style="525" customWidth="1"/>
    <col min="16157" max="16157" width="9.6640625" style="525" customWidth="1"/>
    <col min="16158" max="16158" width="1.109375" style="525" customWidth="1"/>
    <col min="16159" max="16159" width="8.5546875" style="525" customWidth="1"/>
    <col min="16160" max="16160" width="14.5546875" style="525" customWidth="1"/>
    <col min="16161" max="16161" width="10" style="525" customWidth="1"/>
    <col min="16162" max="16162" width="7.77734375" style="525" bestFit="1" customWidth="1"/>
    <col min="16163" max="16163" width="9.88671875" style="525" customWidth="1"/>
    <col min="16164" max="16384" width="8.88671875" style="525"/>
  </cols>
  <sheetData>
    <row r="1" spans="1:36" ht="15">
      <c r="A1" s="1052" t="s">
        <v>1064</v>
      </c>
    </row>
    <row r="2" spans="1:36" ht="10.5" customHeight="1">
      <c r="A2" s="523"/>
      <c r="B2" s="523"/>
      <c r="C2" s="523"/>
      <c r="D2" s="523"/>
      <c r="E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row>
    <row r="3" spans="1:36" ht="18">
      <c r="A3" s="526" t="s">
        <v>0</v>
      </c>
      <c r="B3" s="523"/>
      <c r="C3" s="523"/>
      <c r="D3" s="523"/>
      <c r="E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I3" s="2020" t="s">
        <v>1268</v>
      </c>
    </row>
    <row r="4" spans="1:36" ht="18">
      <c r="A4" s="528" t="s">
        <v>187</v>
      </c>
      <c r="B4" s="523"/>
      <c r="C4" s="523"/>
      <c r="D4" s="523"/>
      <c r="E4" s="523"/>
      <c r="G4" s="523"/>
      <c r="H4" s="523"/>
      <c r="I4" s="523"/>
      <c r="J4" s="523"/>
      <c r="K4" s="523"/>
      <c r="L4" s="523"/>
      <c r="M4" s="523"/>
      <c r="N4" s="523"/>
      <c r="O4" s="523"/>
      <c r="P4" s="523"/>
      <c r="Q4" s="523"/>
      <c r="R4" s="523"/>
      <c r="S4" s="523"/>
      <c r="T4" s="523"/>
      <c r="U4" s="523"/>
      <c r="V4" s="523"/>
      <c r="W4" s="523"/>
      <c r="X4" s="523"/>
      <c r="Y4" s="523"/>
      <c r="Z4" s="523"/>
      <c r="AC4" s="523"/>
      <c r="AD4" s="523"/>
      <c r="AE4" s="523"/>
      <c r="AF4" s="523"/>
    </row>
    <row r="5" spans="1:36" ht="18">
      <c r="A5" s="528" t="s">
        <v>150</v>
      </c>
      <c r="B5" s="523"/>
      <c r="C5" s="523"/>
      <c r="D5" s="523"/>
      <c r="E5" s="523"/>
      <c r="G5" s="523"/>
      <c r="H5" s="523"/>
      <c r="I5" s="523"/>
      <c r="J5" s="523"/>
      <c r="K5" s="523"/>
      <c r="L5" s="523"/>
      <c r="M5" s="523"/>
      <c r="N5" s="523"/>
      <c r="O5" s="523"/>
      <c r="P5" s="523"/>
      <c r="Q5" s="523"/>
      <c r="R5" s="523"/>
      <c r="S5" s="523"/>
      <c r="T5" s="523"/>
      <c r="U5" s="523"/>
      <c r="V5" s="523"/>
      <c r="W5" s="523"/>
      <c r="X5" s="523"/>
      <c r="Y5" s="523"/>
      <c r="Z5" s="523"/>
      <c r="AA5" s="523"/>
      <c r="AB5" s="3754"/>
      <c r="AC5" s="3755"/>
      <c r="AD5" s="3755"/>
      <c r="AE5" s="527"/>
      <c r="AF5" s="527"/>
      <c r="AG5" s="527"/>
      <c r="AH5" s="527"/>
      <c r="AI5" s="527"/>
      <c r="AJ5" s="916"/>
    </row>
    <row r="6" spans="1:36" ht="18">
      <c r="A6" s="526" t="str">
        <f>'Cashflow Governmental'!A6</f>
        <v>FISCAL YEAR 2018-2019</v>
      </c>
      <c r="B6" s="523"/>
      <c r="C6" s="523"/>
      <c r="D6" s="523"/>
      <c r="E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row>
    <row r="7" spans="1:36" ht="18">
      <c r="A7" s="528" t="s">
        <v>957</v>
      </c>
      <c r="B7" s="523"/>
      <c r="C7" s="523"/>
      <c r="D7" s="523"/>
      <c r="E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row>
    <row r="8" spans="1:36" ht="15.75">
      <c r="A8" s="523"/>
      <c r="B8" s="523"/>
      <c r="C8" s="523"/>
      <c r="D8" s="523"/>
      <c r="E8" s="523"/>
      <c r="G8" s="523"/>
      <c r="H8" s="523"/>
      <c r="I8" s="523"/>
      <c r="J8" s="523"/>
      <c r="K8" s="523"/>
      <c r="L8" s="523"/>
      <c r="M8" s="523"/>
      <c r="N8" s="523"/>
      <c r="O8" s="523"/>
      <c r="P8" s="523"/>
      <c r="Q8" s="523"/>
      <c r="R8" s="523"/>
      <c r="S8" s="523"/>
      <c r="T8" s="523"/>
      <c r="U8" s="523"/>
      <c r="V8" s="523"/>
      <c r="W8" s="523"/>
      <c r="X8" s="523"/>
      <c r="Y8" s="523"/>
      <c r="Z8" s="523"/>
      <c r="AA8" s="3756" t="s">
        <v>1466</v>
      </c>
      <c r="AB8" s="3756"/>
      <c r="AC8" s="3756"/>
      <c r="AD8" s="3756"/>
      <c r="AE8" s="3756"/>
      <c r="AF8" s="3756"/>
      <c r="AG8" s="3756"/>
      <c r="AH8" s="3756"/>
      <c r="AI8" s="3756"/>
    </row>
    <row r="9" spans="1:36" ht="15.75">
      <c r="A9" s="523"/>
      <c r="B9" s="1307" t="str">
        <f>'Cashflow Governmental'!C13</f>
        <v>2018</v>
      </c>
      <c r="C9" s="555"/>
      <c r="D9" s="555"/>
      <c r="E9" s="555"/>
      <c r="F9" s="1308"/>
      <c r="G9" s="555"/>
      <c r="H9" s="555"/>
      <c r="I9" s="555"/>
      <c r="J9" s="555"/>
      <c r="K9" s="555"/>
      <c r="L9" s="555"/>
      <c r="M9" s="555"/>
      <c r="N9" s="555"/>
      <c r="O9" s="555"/>
      <c r="P9" s="555"/>
      <c r="Q9" s="555"/>
      <c r="R9" s="555"/>
      <c r="S9" s="555"/>
      <c r="T9" s="1307" t="str">
        <f>'Cashflow Governmental'!U13</f>
        <v>2019</v>
      </c>
      <c r="U9" s="555"/>
      <c r="V9" s="555"/>
      <c r="W9" s="555"/>
      <c r="X9" s="531"/>
      <c r="Y9" s="555"/>
      <c r="Z9" s="555"/>
      <c r="AA9" s="555"/>
      <c r="AB9" s="555"/>
      <c r="AC9" s="555"/>
      <c r="AD9" s="555"/>
      <c r="AE9" s="1309"/>
      <c r="AF9" s="555"/>
      <c r="AG9" s="1310" t="s">
        <v>8</v>
      </c>
      <c r="AH9" s="1311"/>
      <c r="AI9" s="1312" t="s">
        <v>9</v>
      </c>
      <c r="AJ9" s="916"/>
    </row>
    <row r="10" spans="1:36" ht="15.75">
      <c r="A10" s="523"/>
      <c r="B10" s="1277" t="s">
        <v>126</v>
      </c>
      <c r="C10" s="555"/>
      <c r="D10" s="1277" t="s">
        <v>127</v>
      </c>
      <c r="E10" s="531"/>
      <c r="F10" s="1313" t="s">
        <v>128</v>
      </c>
      <c r="G10" s="531"/>
      <c r="H10" s="1277" t="s">
        <v>129</v>
      </c>
      <c r="I10" s="531"/>
      <c r="J10" s="1277" t="s">
        <v>130</v>
      </c>
      <c r="K10" s="531"/>
      <c r="L10" s="1276" t="s">
        <v>145</v>
      </c>
      <c r="M10" s="531"/>
      <c r="N10" s="1277" t="s">
        <v>146</v>
      </c>
      <c r="O10" s="531"/>
      <c r="P10" s="1277" t="s">
        <v>133</v>
      </c>
      <c r="Q10" s="531"/>
      <c r="R10" s="1277" t="s">
        <v>134</v>
      </c>
      <c r="S10" s="555"/>
      <c r="T10" s="1277" t="s">
        <v>135</v>
      </c>
      <c r="U10" s="531"/>
      <c r="V10" s="1277" t="s">
        <v>136</v>
      </c>
      <c r="W10" s="531"/>
      <c r="X10" s="1277" t="s">
        <v>188</v>
      </c>
      <c r="Y10" s="531"/>
      <c r="Z10" s="531"/>
      <c r="AA10" s="1314" t="str">
        <f>'Cashflow Governmental'!AB14</f>
        <v>2018</v>
      </c>
      <c r="AB10" s="531"/>
      <c r="AC10" s="531"/>
      <c r="AD10" s="1314" t="str">
        <f>'Cashflow Governmental'!AE14</f>
        <v>2017</v>
      </c>
      <c r="AE10" s="1315"/>
      <c r="AF10" s="1315"/>
      <c r="AG10" s="1316" t="s">
        <v>12</v>
      </c>
      <c r="AH10" s="1317"/>
      <c r="AI10" s="1316" t="s">
        <v>13</v>
      </c>
      <c r="AJ10" s="916"/>
    </row>
    <row r="11" spans="1:36" ht="3" customHeight="1">
      <c r="A11" s="523"/>
      <c r="B11" s="535"/>
      <c r="C11" s="529"/>
      <c r="D11" s="535"/>
      <c r="E11" s="533"/>
      <c r="F11" s="536"/>
      <c r="G11" s="533"/>
      <c r="H11" s="535"/>
      <c r="I11" s="533"/>
      <c r="J11" s="535"/>
      <c r="K11" s="533"/>
      <c r="L11" s="537"/>
      <c r="M11" s="533"/>
      <c r="N11" s="535"/>
      <c r="O11" s="533"/>
      <c r="P11" s="535"/>
      <c r="Q11" s="533"/>
      <c r="R11" s="535"/>
      <c r="S11" s="529"/>
      <c r="T11" s="538"/>
      <c r="U11" s="533"/>
      <c r="V11" s="535"/>
      <c r="W11" s="533"/>
      <c r="X11" s="535"/>
      <c r="Y11" s="533"/>
      <c r="Z11" s="533"/>
      <c r="AA11" s="534"/>
      <c r="AB11" s="533"/>
      <c r="AC11" s="533"/>
      <c r="AD11" s="534"/>
      <c r="AE11" s="534"/>
      <c r="AF11" s="539"/>
      <c r="AG11" s="534"/>
      <c r="AH11" s="540"/>
      <c r="AI11" s="541"/>
    </row>
    <row r="12" spans="1:36" ht="15.75">
      <c r="A12" s="542" t="s">
        <v>189</v>
      </c>
      <c r="B12" s="543">
        <v>153.1</v>
      </c>
      <c r="C12" s="543"/>
      <c r="D12" s="544"/>
      <c r="E12" s="543"/>
      <c r="F12" s="544"/>
      <c r="G12" s="543"/>
      <c r="H12" s="544"/>
      <c r="I12" s="543"/>
      <c r="J12" s="544"/>
      <c r="K12" s="543"/>
      <c r="L12" s="544"/>
      <c r="M12" s="543"/>
      <c r="N12" s="544"/>
      <c r="O12" s="543"/>
      <c r="P12" s="544"/>
      <c r="Q12" s="543"/>
      <c r="R12" s="544"/>
      <c r="S12" s="543"/>
      <c r="T12" s="544"/>
      <c r="U12" s="543"/>
      <c r="V12" s="544"/>
      <c r="W12" s="543"/>
      <c r="X12" s="544"/>
      <c r="Y12" s="545"/>
      <c r="Z12" s="543"/>
      <c r="AA12" s="543">
        <f>B12</f>
        <v>153.1</v>
      </c>
      <c r="AB12" s="545"/>
      <c r="AC12" s="543"/>
      <c r="AD12" s="2742">
        <v>144.4</v>
      </c>
      <c r="AE12" s="546"/>
      <c r="AF12" s="547"/>
      <c r="AG12" s="548">
        <f>ROUND(SUM(AA12-AD12),1)</f>
        <v>8.6999999999999993</v>
      </c>
      <c r="AH12" s="549"/>
      <c r="AI12" s="550">
        <f>ROUND(SUM(AG12/AD12),3)</f>
        <v>0.06</v>
      </c>
      <c r="AJ12" s="916"/>
    </row>
    <row r="13" spans="1:36" ht="12.75" customHeight="1">
      <c r="A13" s="529"/>
      <c r="B13" s="529"/>
      <c r="C13" s="529"/>
      <c r="D13" s="529"/>
      <c r="E13" s="529"/>
      <c r="F13" s="530"/>
      <c r="G13" s="529"/>
      <c r="H13" s="529"/>
      <c r="I13" s="529"/>
      <c r="J13" s="529"/>
      <c r="K13" s="529"/>
      <c r="L13" s="529"/>
      <c r="M13" s="529"/>
      <c r="N13" s="529"/>
      <c r="O13" s="529"/>
      <c r="P13" s="529"/>
      <c r="Q13" s="529"/>
      <c r="R13" s="529"/>
      <c r="S13" s="529"/>
      <c r="T13" s="529"/>
      <c r="U13" s="529"/>
      <c r="V13" s="529"/>
      <c r="W13" s="529"/>
      <c r="X13" s="529"/>
      <c r="Y13" s="551"/>
      <c r="Z13" s="529"/>
      <c r="AA13" s="530"/>
      <c r="AB13" s="552"/>
      <c r="AC13" s="530"/>
      <c r="AD13" s="2507"/>
      <c r="AE13" s="534"/>
      <c r="AF13" s="553"/>
      <c r="AG13" s="554"/>
      <c r="AH13" s="540"/>
      <c r="AI13" s="541"/>
    </row>
    <row r="14" spans="1:36" ht="14.25" customHeight="1">
      <c r="A14" s="555" t="s">
        <v>14</v>
      </c>
      <c r="B14" s="529"/>
      <c r="C14" s="529"/>
      <c r="D14" s="529"/>
      <c r="E14" s="529"/>
      <c r="F14" s="530"/>
      <c r="G14" s="529"/>
      <c r="H14" s="529"/>
      <c r="I14" s="529"/>
      <c r="J14" s="529"/>
      <c r="K14" s="529"/>
      <c r="L14" s="529"/>
      <c r="M14" s="529"/>
      <c r="N14" s="529"/>
      <c r="O14" s="529"/>
      <c r="P14" s="529"/>
      <c r="Q14" s="529"/>
      <c r="R14" s="529"/>
      <c r="S14" s="529"/>
      <c r="T14" s="529"/>
      <c r="U14" s="529"/>
      <c r="V14" s="529"/>
      <c r="W14" s="529"/>
      <c r="X14" s="529"/>
      <c r="Y14" s="551"/>
      <c r="Z14" s="529"/>
      <c r="AA14" s="530"/>
      <c r="AB14" s="552"/>
      <c r="AC14" s="530"/>
      <c r="AD14" s="2507"/>
      <c r="AE14" s="534"/>
      <c r="AF14" s="553"/>
      <c r="AG14" s="554"/>
      <c r="AH14" s="540"/>
      <c r="AI14" s="541"/>
    </row>
    <row r="15" spans="1:36" ht="14.25" customHeight="1">
      <c r="A15" s="467" t="s">
        <v>1193</v>
      </c>
      <c r="B15" s="416"/>
      <c r="C15" s="416"/>
      <c r="D15" s="416"/>
      <c r="E15" s="878"/>
      <c r="F15" s="416"/>
      <c r="G15" s="878"/>
      <c r="H15" s="529"/>
      <c r="I15" s="529"/>
      <c r="J15" s="529"/>
      <c r="K15" s="529"/>
      <c r="L15" s="529"/>
      <c r="M15" s="529"/>
      <c r="N15" s="529"/>
      <c r="O15" s="529"/>
      <c r="P15" s="529"/>
      <c r="Q15" s="529"/>
      <c r="R15" s="529"/>
      <c r="S15" s="529"/>
      <c r="T15" s="529"/>
      <c r="U15" s="529"/>
      <c r="V15" s="529"/>
      <c r="W15" s="529"/>
      <c r="X15" s="529"/>
      <c r="Y15" s="1770"/>
      <c r="Z15" s="529"/>
      <c r="AA15" s="530"/>
      <c r="AB15" s="1771"/>
      <c r="AC15" s="530"/>
      <c r="AD15" s="2504"/>
      <c r="AE15" s="534"/>
      <c r="AF15" s="553"/>
      <c r="AG15" s="554"/>
      <c r="AH15" s="540"/>
      <c r="AI15" s="541"/>
    </row>
    <row r="16" spans="1:36" ht="14.25" customHeight="1">
      <c r="A16" s="2017" t="s">
        <v>1196</v>
      </c>
      <c r="B16" s="2228">
        <f>$AA16</f>
        <v>2928.1</v>
      </c>
      <c r="C16" s="2501"/>
      <c r="D16" s="2513"/>
      <c r="E16" s="2501"/>
      <c r="F16" s="2228"/>
      <c r="G16" s="1212"/>
      <c r="H16" s="2513"/>
      <c r="I16" s="2507"/>
      <c r="J16" s="2743"/>
      <c r="K16" s="2507"/>
      <c r="L16" s="2743"/>
      <c r="M16" s="2507"/>
      <c r="N16" s="2914"/>
      <c r="O16" s="2507"/>
      <c r="P16" s="2914"/>
      <c r="Q16" s="2507"/>
      <c r="R16" s="2914"/>
      <c r="S16" s="2507"/>
      <c r="T16" s="2914"/>
      <c r="U16" s="2507"/>
      <c r="V16" s="2914"/>
      <c r="W16" s="2507"/>
      <c r="X16" s="2914"/>
      <c r="Y16" s="1770"/>
      <c r="Z16" s="529"/>
      <c r="AA16" s="2914">
        <v>2928.1</v>
      </c>
      <c r="AB16" s="3294"/>
      <c r="AC16" s="3295"/>
      <c r="AD16" s="2914">
        <v>1250.5</v>
      </c>
      <c r="AE16" s="534"/>
      <c r="AF16" s="553"/>
      <c r="AG16" s="562">
        <f>ROUND(SUM(AA16-AD16),1)</f>
        <v>1677.6</v>
      </c>
      <c r="AH16" s="540"/>
      <c r="AI16" s="2744">
        <f>ROUND(IF(AD16=0,0,AG16/ABS(AD16)),3)</f>
        <v>1.3420000000000001</v>
      </c>
    </row>
    <row r="17" spans="1:35" ht="6" customHeight="1">
      <c r="A17" s="2017"/>
      <c r="B17" s="2228"/>
      <c r="C17" s="2501"/>
      <c r="D17" s="2513"/>
      <c r="E17" s="2501"/>
      <c r="F17" s="2513"/>
      <c r="G17" s="1212"/>
      <c r="H17" s="2513"/>
      <c r="I17" s="529"/>
      <c r="J17" s="2743"/>
      <c r="K17" s="529"/>
      <c r="L17" s="2743"/>
      <c r="M17" s="529"/>
      <c r="N17" s="2914"/>
      <c r="O17" s="529"/>
      <c r="P17" s="2743"/>
      <c r="Q17" s="529"/>
      <c r="R17" s="2743"/>
      <c r="S17" s="529"/>
      <c r="T17" s="2743"/>
      <c r="U17" s="529"/>
      <c r="V17" s="2743"/>
      <c r="W17" s="529"/>
      <c r="X17" s="2743"/>
      <c r="Y17" s="2243"/>
      <c r="Z17" s="529"/>
      <c r="AA17" s="2914"/>
      <c r="AB17" s="3296"/>
      <c r="AC17" s="3295"/>
      <c r="AD17" s="2914"/>
      <c r="AE17" s="534"/>
      <c r="AF17" s="553"/>
      <c r="AG17" s="562"/>
      <c r="AH17" s="540"/>
      <c r="AI17" s="2744"/>
    </row>
    <row r="18" spans="1:35" ht="14.25" customHeight="1">
      <c r="A18" s="2017" t="s">
        <v>1261</v>
      </c>
      <c r="B18" s="2330"/>
      <c r="C18" s="2502"/>
      <c r="D18" s="2503"/>
      <c r="E18" s="2502"/>
      <c r="F18" s="2503"/>
      <c r="G18" s="2502"/>
      <c r="H18" s="2503"/>
      <c r="I18" s="529"/>
      <c r="J18" s="304"/>
      <c r="K18" s="529"/>
      <c r="L18" s="304"/>
      <c r="M18" s="529"/>
      <c r="N18" s="2349"/>
      <c r="O18" s="529"/>
      <c r="P18" s="304"/>
      <c r="Q18" s="529"/>
      <c r="R18" s="304"/>
      <c r="S18" s="529"/>
      <c r="T18" s="304"/>
      <c r="U18" s="529"/>
      <c r="V18" s="304"/>
      <c r="W18" s="529"/>
      <c r="X18" s="304"/>
      <c r="Y18" s="1770"/>
      <c r="Z18" s="529"/>
      <c r="AA18" s="2349"/>
      <c r="AB18" s="3294"/>
      <c r="AC18" s="3295"/>
      <c r="AD18" s="2349"/>
      <c r="AE18" s="534"/>
      <c r="AF18" s="553"/>
      <c r="AG18" s="554"/>
      <c r="AH18" s="540"/>
      <c r="AI18" s="2341"/>
    </row>
    <row r="19" spans="1:35" ht="14.25" customHeight="1">
      <c r="A19" s="1132" t="s">
        <v>1211</v>
      </c>
      <c r="B19" s="2228">
        <f>$AA19</f>
        <v>502.8</v>
      </c>
      <c r="C19" s="2501"/>
      <c r="D19" s="2513"/>
      <c r="E19" s="2501"/>
      <c r="F19" s="2228"/>
      <c r="G19" s="2502"/>
      <c r="H19" s="2513"/>
      <c r="I19" s="2507"/>
      <c r="J19" s="2743"/>
      <c r="K19" s="2507"/>
      <c r="L19" s="2743"/>
      <c r="M19" s="2507"/>
      <c r="N19" s="2914"/>
      <c r="O19" s="2507"/>
      <c r="P19" s="2914"/>
      <c r="Q19" s="2507"/>
      <c r="R19" s="2914"/>
      <c r="S19" s="2507"/>
      <c r="T19" s="2914"/>
      <c r="U19" s="2507"/>
      <c r="V19" s="2914"/>
      <c r="W19" s="2507"/>
      <c r="X19" s="2914"/>
      <c r="Y19" s="1770"/>
      <c r="Z19" s="529"/>
      <c r="AA19" s="2914">
        <v>502.8</v>
      </c>
      <c r="AB19" s="3294"/>
      <c r="AC19" s="3295"/>
      <c r="AD19" s="2914">
        <v>473</v>
      </c>
      <c r="AE19" s="534"/>
      <c r="AF19" s="553"/>
      <c r="AG19" s="562">
        <f>ROUND(SUM(AA19-AD19),1)</f>
        <v>29.8</v>
      </c>
      <c r="AH19" s="540"/>
      <c r="AI19" s="2310">
        <f>ROUND(IF(AD19=0,0,AG19/ABS(AD19)),3)</f>
        <v>6.3E-2</v>
      </c>
    </row>
    <row r="20" spans="1:35" ht="14.25" customHeight="1">
      <c r="A20" s="555" t="s">
        <v>1210</v>
      </c>
      <c r="B20" s="2347">
        <f>ROUND(SUM(B19:B19),1)</f>
        <v>502.8</v>
      </c>
      <c r="C20" s="1587"/>
      <c r="D20" s="2514">
        <f>ROUND(SUM(D19:D19),1)</f>
        <v>0</v>
      </c>
      <c r="E20" s="1587"/>
      <c r="F20" s="2514">
        <f>ROUND(SUM(F19:F19),1)</f>
        <v>0</v>
      </c>
      <c r="G20" s="1587"/>
      <c r="H20" s="2514">
        <f>ROUND(SUM(H19:H19),1)</f>
        <v>0</v>
      </c>
      <c r="I20" s="529"/>
      <c r="J20" s="1144">
        <f>ROUND(SUM(J19:J19),1)</f>
        <v>0</v>
      </c>
      <c r="K20" s="529"/>
      <c r="L20" s="2514">
        <f>ROUND(SUM(L19:L19),1)</f>
        <v>0</v>
      </c>
      <c r="M20" s="529"/>
      <c r="N20" s="1144">
        <f>ROUND(SUM(N19:N19),1)</f>
        <v>0</v>
      </c>
      <c r="O20" s="529"/>
      <c r="P20" s="2514">
        <f>ROUND(SUM(P19:P19),1)</f>
        <v>0</v>
      </c>
      <c r="Q20" s="529"/>
      <c r="R20" s="1144">
        <f>ROUND(SUM(R19:R19),1)</f>
        <v>0</v>
      </c>
      <c r="S20" s="529"/>
      <c r="T20" s="1144">
        <f>ROUND(SUM(T19:T19),1)</f>
        <v>0</v>
      </c>
      <c r="U20" s="529"/>
      <c r="V20" s="2514">
        <f>ROUND(SUM(V19:V19),1)</f>
        <v>0</v>
      </c>
      <c r="W20" s="529"/>
      <c r="X20" s="1144">
        <f>ROUND(SUM(X19:X19),1)</f>
        <v>0</v>
      </c>
      <c r="Y20" s="1770"/>
      <c r="Z20" s="529"/>
      <c r="AA20" s="2347">
        <f>ROUND(SUM(AA19:AA19),1)</f>
        <v>502.8</v>
      </c>
      <c r="AB20" s="3294"/>
      <c r="AC20" s="3295"/>
      <c r="AD20" s="2347">
        <f>ROUND(SUM(AD19:AD19),1)</f>
        <v>473</v>
      </c>
      <c r="AE20" s="534"/>
      <c r="AF20" s="553"/>
      <c r="AG20" s="1889">
        <f>ROUND(SUM(AA20-AD20),1)</f>
        <v>29.8</v>
      </c>
      <c r="AH20" s="549"/>
      <c r="AI20" s="2328">
        <f>ROUND(IF(AD20=0,0,AG20/ABS(AD20)),3)</f>
        <v>6.3E-2</v>
      </c>
    </row>
    <row r="21" spans="1:35" ht="14.25" customHeight="1">
      <c r="A21" s="1768" t="s">
        <v>1263</v>
      </c>
      <c r="B21" s="2330"/>
      <c r="C21" s="1587"/>
      <c r="D21" s="2503"/>
      <c r="E21" s="1587"/>
      <c r="F21" s="2503"/>
      <c r="G21" s="1587"/>
      <c r="H21" s="2503"/>
      <c r="I21" s="529"/>
      <c r="J21" s="264"/>
      <c r="K21" s="529"/>
      <c r="L21" s="2503"/>
      <c r="M21" s="529"/>
      <c r="N21" s="264"/>
      <c r="O21" s="529"/>
      <c r="P21" s="264"/>
      <c r="Q21" s="529"/>
      <c r="R21" s="264"/>
      <c r="S21" s="529"/>
      <c r="T21" s="264"/>
      <c r="U21" s="529"/>
      <c r="V21" s="2503"/>
      <c r="W21" s="529"/>
      <c r="X21" s="264"/>
      <c r="Y21" s="1770"/>
      <c r="Z21" s="529"/>
      <c r="AA21" s="2330"/>
      <c r="AB21" s="3294"/>
      <c r="AC21" s="3295"/>
      <c r="AD21" s="2330"/>
      <c r="AE21" s="534"/>
      <c r="AF21" s="553"/>
      <c r="AG21" s="554"/>
      <c r="AH21" s="540"/>
      <c r="AI21" s="2341"/>
    </row>
    <row r="22" spans="1:35" ht="14.25" customHeight="1">
      <c r="A22" s="1132" t="s">
        <v>1229</v>
      </c>
      <c r="B22" s="2228">
        <f>$AA22</f>
        <v>87</v>
      </c>
      <c r="C22" s="2501"/>
      <c r="D22" s="2513"/>
      <c r="E22" s="2501"/>
      <c r="F22" s="2228"/>
      <c r="G22" s="1587"/>
      <c r="H22" s="2513"/>
      <c r="I22" s="2507"/>
      <c r="J22" s="2743"/>
      <c r="K22" s="2507"/>
      <c r="L22" s="2743"/>
      <c r="M22" s="2507"/>
      <c r="N22" s="2914"/>
      <c r="O22" s="2507"/>
      <c r="P22" s="2914"/>
      <c r="Q22" s="2507"/>
      <c r="R22" s="2914"/>
      <c r="S22" s="2507"/>
      <c r="T22" s="2914"/>
      <c r="U22" s="2507"/>
      <c r="V22" s="2914"/>
      <c r="W22" s="2507"/>
      <c r="X22" s="2914"/>
      <c r="Y22" s="1770"/>
      <c r="Z22" s="529"/>
      <c r="AA22" s="2914">
        <v>87</v>
      </c>
      <c r="AB22" s="3294"/>
      <c r="AC22" s="3295"/>
      <c r="AD22" s="2914">
        <v>94.8</v>
      </c>
      <c r="AE22" s="534"/>
      <c r="AF22" s="553"/>
      <c r="AG22" s="562">
        <f>ROUND(SUM(AA22-AD22),1)</f>
        <v>-7.8</v>
      </c>
      <c r="AH22" s="540"/>
      <c r="AI22" s="2310">
        <f>ROUND(IF(AD22=0,0,AG22/ABS(AD22)),3)</f>
        <v>-8.2000000000000003E-2</v>
      </c>
    </row>
    <row r="23" spans="1:35" ht="14.25" customHeight="1">
      <c r="A23" s="555" t="s">
        <v>1224</v>
      </c>
      <c r="B23" s="3297">
        <f>ROUND(SUM(B22:B22),1)</f>
        <v>87</v>
      </c>
      <c r="C23" s="1587"/>
      <c r="D23" s="463">
        <f>ROUND(SUM(D22:D22),1)</f>
        <v>0</v>
      </c>
      <c r="E23" s="1587"/>
      <c r="F23" s="463">
        <f>ROUND(SUM(F22:F22),1)</f>
        <v>0</v>
      </c>
      <c r="G23" s="1587"/>
      <c r="H23" s="463">
        <f>ROUND(SUM(H22:H22),1)</f>
        <v>0</v>
      </c>
      <c r="I23" s="529"/>
      <c r="J23" s="463">
        <f>ROUND(SUM(J22:J22),1)</f>
        <v>0</v>
      </c>
      <c r="K23" s="529"/>
      <c r="L23" s="463">
        <f>ROUND(SUM(L22:L22),1)</f>
        <v>0</v>
      </c>
      <c r="M23" s="529"/>
      <c r="N23" s="463">
        <f>ROUND(SUM(N22:N22),1)</f>
        <v>0</v>
      </c>
      <c r="O23" s="529"/>
      <c r="P23" s="463">
        <f>ROUND(SUM(P22:P22),1)</f>
        <v>0</v>
      </c>
      <c r="Q23" s="529"/>
      <c r="R23" s="463">
        <f>ROUND(SUM(R22:R22),1)</f>
        <v>0</v>
      </c>
      <c r="S23" s="529"/>
      <c r="T23" s="463">
        <f>ROUND(SUM(T22:T22),1)</f>
        <v>0</v>
      </c>
      <c r="U23" s="529"/>
      <c r="V23" s="463">
        <f>ROUND(SUM(V22:V22),1)</f>
        <v>0</v>
      </c>
      <c r="W23" s="529"/>
      <c r="X23" s="463">
        <f>ROUND(SUM(X22:X22),1)</f>
        <v>0</v>
      </c>
      <c r="Y23" s="1770"/>
      <c r="Z23" s="529"/>
      <c r="AA23" s="2347">
        <f>SUM(AA22:AA22)</f>
        <v>87</v>
      </c>
      <c r="AB23" s="3294"/>
      <c r="AC23" s="3295"/>
      <c r="AD23" s="2347">
        <f>SUM(AD22:AD22)</f>
        <v>94.8</v>
      </c>
      <c r="AE23" s="534"/>
      <c r="AF23" s="553"/>
      <c r="AG23" s="1987">
        <f>ROUND(SUM(AA23-AD23),1)</f>
        <v>-7.8</v>
      </c>
      <c r="AH23" s="549"/>
      <c r="AI23" s="2342">
        <f>ROUND(IF(AD23=0,0,AG23/ABS(AD23)),3)</f>
        <v>-8.2000000000000003E-2</v>
      </c>
    </row>
    <row r="24" spans="1:35" ht="14.25" customHeight="1">
      <c r="A24" s="555"/>
      <c r="B24" s="3297"/>
      <c r="C24" s="1587"/>
      <c r="D24" s="2503"/>
      <c r="E24" s="1587"/>
      <c r="F24" s="2503"/>
      <c r="G24" s="2503"/>
      <c r="H24" s="2503"/>
      <c r="I24" s="532"/>
      <c r="J24" s="264"/>
      <c r="K24" s="532"/>
      <c r="L24" s="2503"/>
      <c r="M24" s="532"/>
      <c r="N24" s="264"/>
      <c r="O24" s="532"/>
      <c r="P24" s="264"/>
      <c r="Q24" s="532"/>
      <c r="R24" s="264"/>
      <c r="S24" s="532"/>
      <c r="T24" s="264"/>
      <c r="U24" s="532"/>
      <c r="V24" s="2503"/>
      <c r="W24" s="532"/>
      <c r="X24" s="264"/>
      <c r="Y24" s="1770"/>
      <c r="Z24" s="529"/>
      <c r="AA24" s="3297"/>
      <c r="AB24" s="3294"/>
      <c r="AC24" s="3295"/>
      <c r="AD24" s="3297"/>
      <c r="AE24" s="534"/>
      <c r="AF24" s="553"/>
      <c r="AG24" s="554"/>
      <c r="AH24" s="540"/>
      <c r="AI24" s="2343"/>
    </row>
    <row r="25" spans="1:35" ht="14.25" customHeight="1">
      <c r="A25" s="555" t="s">
        <v>1225</v>
      </c>
      <c r="B25" s="3713">
        <f>ROUND(SUM(B16+B20+B23),1)</f>
        <v>3517.9</v>
      </c>
      <c r="C25" s="2502"/>
      <c r="D25" s="3047">
        <f>ROUND(SUM(D16+D20+D23),1)</f>
        <v>0</v>
      </c>
      <c r="E25" s="2502"/>
      <c r="F25" s="3047">
        <f>ROUND(SUM(F16+F20+F23),1)</f>
        <v>0</v>
      </c>
      <c r="G25" s="2502"/>
      <c r="H25" s="3047">
        <f>ROUND(SUM(H16+H20+H23),1)</f>
        <v>0</v>
      </c>
      <c r="I25" s="529"/>
      <c r="J25" s="577">
        <f>ROUND(SUM(J16+J20+J23),1)</f>
        <v>0</v>
      </c>
      <c r="K25" s="529"/>
      <c r="L25" s="577">
        <f>ROUND(SUM(L16+L20+L23),1)</f>
        <v>0</v>
      </c>
      <c r="M25" s="529"/>
      <c r="N25" s="577">
        <f>ROUND(SUM(N16+N20+N23),1)</f>
        <v>0</v>
      </c>
      <c r="O25" s="529"/>
      <c r="P25" s="577">
        <f>ROUND(SUM(P16+P20+P23),1)</f>
        <v>0</v>
      </c>
      <c r="Q25" s="529"/>
      <c r="R25" s="577">
        <f>ROUND(SUM(R16+R20+R23),1)</f>
        <v>0</v>
      </c>
      <c r="S25" s="529"/>
      <c r="T25" s="577">
        <f>ROUND(SUM(T16+T20+T23),1)</f>
        <v>0</v>
      </c>
      <c r="U25" s="529"/>
      <c r="V25" s="577">
        <f>ROUND(SUM(V16+V20+V23),1)</f>
        <v>0</v>
      </c>
      <c r="W25" s="529"/>
      <c r="X25" s="577">
        <f>ROUND(SUM(X16+X20+X23),1)</f>
        <v>0</v>
      </c>
      <c r="Y25" s="1770"/>
      <c r="Z25" s="529"/>
      <c r="AA25" s="3298">
        <f>ROUND(SUM(AA16+AA20+AA23),1)</f>
        <v>3517.9</v>
      </c>
      <c r="AB25" s="3294"/>
      <c r="AC25" s="3295"/>
      <c r="AD25" s="3298">
        <f>ROUND(SUM(AD16+AD20+AD23),1)</f>
        <v>1818.3</v>
      </c>
      <c r="AE25" s="534"/>
      <c r="AF25" s="553"/>
      <c r="AG25" s="577">
        <f>ROUND(SUM(AG16+AG20+AG23),1)</f>
        <v>1699.6</v>
      </c>
      <c r="AH25" s="549"/>
      <c r="AI25" s="2344">
        <f>ROUND(IF(AD25=0,0,AG25/ABS(AD25)),3)</f>
        <v>0.93500000000000005</v>
      </c>
    </row>
    <row r="26" spans="1:35" ht="14.25" customHeight="1">
      <c r="A26" s="467"/>
      <c r="B26" s="2329"/>
      <c r="C26" s="2502"/>
      <c r="D26" s="2502"/>
      <c r="E26" s="2502"/>
      <c r="F26" s="2502"/>
      <c r="G26" s="2502"/>
      <c r="H26" s="2502"/>
      <c r="I26" s="529"/>
      <c r="J26" s="254"/>
      <c r="K26" s="529"/>
      <c r="L26" s="254"/>
      <c r="M26" s="529"/>
      <c r="N26" s="254"/>
      <c r="O26" s="529"/>
      <c r="P26" s="254"/>
      <c r="Q26" s="529"/>
      <c r="R26" s="254"/>
      <c r="S26" s="529"/>
      <c r="T26" s="254"/>
      <c r="U26" s="529"/>
      <c r="V26" s="254"/>
      <c r="W26" s="529"/>
      <c r="X26" s="254"/>
      <c r="Y26" s="1770"/>
      <c r="Z26" s="529"/>
      <c r="AA26" s="2329"/>
      <c r="AB26" s="3294"/>
      <c r="AC26" s="3295"/>
      <c r="AD26" s="2329"/>
      <c r="AE26" s="534"/>
      <c r="AF26" s="553"/>
      <c r="AG26" s="554"/>
      <c r="AH26" s="540"/>
      <c r="AI26" s="2341"/>
    </row>
    <row r="27" spans="1:35" ht="14.25" customHeight="1">
      <c r="A27" s="467" t="s">
        <v>1128</v>
      </c>
      <c r="B27" s="3299"/>
      <c r="C27" s="2509"/>
      <c r="D27" s="2509"/>
      <c r="E27" s="2509"/>
      <c r="F27" s="2509"/>
      <c r="G27" s="2509"/>
      <c r="H27" s="2509"/>
      <c r="I27" s="557"/>
      <c r="J27" s="557"/>
      <c r="K27" s="557"/>
      <c r="L27" s="557"/>
      <c r="M27" s="557"/>
      <c r="N27" s="557"/>
      <c r="O27" s="557"/>
      <c r="P27" s="557"/>
      <c r="Q27" s="557"/>
      <c r="R27" s="557"/>
      <c r="S27" s="557"/>
      <c r="T27" s="557"/>
      <c r="U27" s="557"/>
      <c r="V27" s="557"/>
      <c r="W27" s="557"/>
      <c r="X27" s="557"/>
      <c r="Y27" s="1677"/>
      <c r="Z27" s="557"/>
      <c r="AA27" s="3299"/>
      <c r="AB27" s="3300"/>
      <c r="AC27" s="3293"/>
      <c r="AD27" s="3299"/>
      <c r="AE27" s="560"/>
      <c r="AF27" s="561"/>
      <c r="AG27" s="562"/>
      <c r="AH27" s="540"/>
      <c r="AI27" s="2345"/>
    </row>
    <row r="28" spans="1:35" ht="14.25" customHeight="1">
      <c r="A28" s="1541" t="s">
        <v>1254</v>
      </c>
      <c r="B28" s="3299"/>
      <c r="C28" s="2509"/>
      <c r="D28" s="2509"/>
      <c r="E28" s="2509"/>
      <c r="F28" s="2509"/>
      <c r="G28" s="2509"/>
      <c r="H28" s="2509"/>
      <c r="I28" s="557"/>
      <c r="J28" s="557"/>
      <c r="K28" s="557"/>
      <c r="L28" s="557"/>
      <c r="M28" s="557"/>
      <c r="N28" s="557"/>
      <c r="O28" s="557"/>
      <c r="P28" s="557"/>
      <c r="Q28" s="557"/>
      <c r="R28" s="557"/>
      <c r="S28" s="557"/>
      <c r="T28" s="557"/>
      <c r="U28" s="557"/>
      <c r="V28" s="557"/>
      <c r="W28" s="557"/>
      <c r="X28" s="557"/>
      <c r="Y28" s="2380"/>
      <c r="Z28" s="557"/>
      <c r="AA28" s="3299"/>
      <c r="AB28" s="3301"/>
      <c r="AC28" s="3293"/>
      <c r="AD28" s="3299"/>
      <c r="AE28" s="560"/>
      <c r="AF28" s="561"/>
      <c r="AG28" s="562"/>
      <c r="AH28" s="540"/>
      <c r="AI28" s="2345"/>
    </row>
    <row r="29" spans="1:35" ht="14.25" customHeight="1">
      <c r="A29" s="1541" t="s">
        <v>1132</v>
      </c>
      <c r="B29" s="2228">
        <f>$AA29</f>
        <v>0</v>
      </c>
      <c r="C29" s="2509"/>
      <c r="D29" s="2513"/>
      <c r="E29" s="2509"/>
      <c r="F29" s="2228"/>
      <c r="G29" s="2509"/>
      <c r="H29" s="2513"/>
      <c r="I29" s="2507"/>
      <c r="J29" s="2743"/>
      <c r="K29" s="2507"/>
      <c r="L29" s="2743"/>
      <c r="M29" s="2507"/>
      <c r="N29" s="2914"/>
      <c r="O29" s="2507"/>
      <c r="P29" s="2914"/>
      <c r="Q29" s="2507"/>
      <c r="R29" s="2914"/>
      <c r="S29" s="2507"/>
      <c r="T29" s="2914"/>
      <c r="U29" s="2507"/>
      <c r="V29" s="2914"/>
      <c r="W29" s="2507"/>
      <c r="X29" s="2914"/>
      <c r="Y29" s="1770"/>
      <c r="Z29" s="529"/>
      <c r="AA29" s="2914">
        <v>0</v>
      </c>
      <c r="AB29" s="3294"/>
      <c r="AC29" s="3295"/>
      <c r="AD29" s="2914">
        <v>0</v>
      </c>
      <c r="AE29" s="560"/>
      <c r="AF29" s="561"/>
      <c r="AG29" s="562">
        <f>ROUND(SUM(AA29-AD29),1)</f>
        <v>0</v>
      </c>
      <c r="AH29" s="540"/>
      <c r="AI29" s="2310">
        <f>ROUND(IF(AD29=0,0,AG29/ABS(AD29)),3)</f>
        <v>0</v>
      </c>
    </row>
    <row r="30" spans="1:35" ht="14.25" customHeight="1">
      <c r="A30" s="1541" t="s">
        <v>1259</v>
      </c>
      <c r="B30" s="2228" t="s">
        <v>15</v>
      </c>
      <c r="C30" s="2509"/>
      <c r="D30" s="2509"/>
      <c r="E30" s="2509"/>
      <c r="F30" s="2228"/>
      <c r="G30" s="2509"/>
      <c r="H30" s="2513"/>
      <c r="I30" s="2507"/>
      <c r="J30" s="2743"/>
      <c r="K30" s="2507"/>
      <c r="L30" s="2743"/>
      <c r="M30" s="2507"/>
      <c r="N30" s="2914"/>
      <c r="O30" s="2507"/>
      <c r="P30" s="2914"/>
      <c r="Q30" s="2507"/>
      <c r="R30" s="2914"/>
      <c r="S30" s="2507"/>
      <c r="T30" s="2914"/>
      <c r="U30" s="2507"/>
      <c r="V30" s="2914"/>
      <c r="W30" s="2507"/>
      <c r="X30" s="2914"/>
      <c r="Y30" s="1770"/>
      <c r="Z30" s="529"/>
      <c r="AA30" s="2914"/>
      <c r="AB30" s="3294"/>
      <c r="AC30" s="3295"/>
      <c r="AD30" s="2914"/>
      <c r="AE30" s="560"/>
      <c r="AF30" s="561"/>
      <c r="AG30" s="562"/>
      <c r="AH30" s="540"/>
      <c r="AI30" s="2345"/>
    </row>
    <row r="31" spans="1:35" ht="14.25" customHeight="1">
      <c r="A31" s="1541" t="s">
        <v>1135</v>
      </c>
      <c r="B31" s="2228">
        <f t="shared" ref="B31:B43" si="0">$AA31</f>
        <v>0</v>
      </c>
      <c r="C31" s="2509"/>
      <c r="D31" s="2513"/>
      <c r="E31" s="2509"/>
      <c r="F31" s="2228"/>
      <c r="G31" s="2509"/>
      <c r="H31" s="2513"/>
      <c r="I31" s="2507"/>
      <c r="J31" s="2743"/>
      <c r="K31" s="2507"/>
      <c r="L31" s="2743"/>
      <c r="M31" s="2507"/>
      <c r="N31" s="2914"/>
      <c r="O31" s="2507"/>
      <c r="P31" s="2914"/>
      <c r="Q31" s="2507"/>
      <c r="R31" s="2914"/>
      <c r="S31" s="2507"/>
      <c r="T31" s="2914"/>
      <c r="U31" s="2507"/>
      <c r="V31" s="2914"/>
      <c r="W31" s="2507"/>
      <c r="X31" s="2914"/>
      <c r="Y31" s="1770"/>
      <c r="Z31" s="529"/>
      <c r="AA31" s="2914">
        <v>0</v>
      </c>
      <c r="AB31" s="3294"/>
      <c r="AC31" s="3295"/>
      <c r="AD31" s="2914">
        <v>0</v>
      </c>
      <c r="AE31" s="560"/>
      <c r="AF31" s="561"/>
      <c r="AG31" s="562">
        <f t="shared" ref="AG31:AG39" si="1">ROUND(SUM(AA31-AD31),1)</f>
        <v>0</v>
      </c>
      <c r="AH31" s="540"/>
      <c r="AI31" s="2310">
        <f t="shared" ref="AI31:AI39" si="2">ROUND(IF(AD31=0,0,AG31/ABS(AD31)),3)</f>
        <v>0</v>
      </c>
    </row>
    <row r="32" spans="1:35" ht="14.25" customHeight="1">
      <c r="A32" s="1541" t="s">
        <v>1136</v>
      </c>
      <c r="B32" s="2228">
        <f t="shared" si="0"/>
        <v>0</v>
      </c>
      <c r="C32" s="2509"/>
      <c r="D32" s="2513"/>
      <c r="E32" s="2509"/>
      <c r="F32" s="2228"/>
      <c r="G32" s="2509"/>
      <c r="H32" s="2513"/>
      <c r="I32" s="2507"/>
      <c r="J32" s="2743"/>
      <c r="K32" s="2507"/>
      <c r="L32" s="2743"/>
      <c r="M32" s="2507"/>
      <c r="N32" s="2914"/>
      <c r="O32" s="2507"/>
      <c r="P32" s="2914"/>
      <c r="Q32" s="2507"/>
      <c r="R32" s="2914"/>
      <c r="S32" s="2507"/>
      <c r="T32" s="2914"/>
      <c r="U32" s="2507"/>
      <c r="V32" s="2914"/>
      <c r="W32" s="2507"/>
      <c r="X32" s="2914"/>
      <c r="Y32" s="1770"/>
      <c r="Z32" s="529"/>
      <c r="AA32" s="2914">
        <v>0</v>
      </c>
      <c r="AB32" s="3294"/>
      <c r="AC32" s="3295"/>
      <c r="AD32" s="2914">
        <v>0</v>
      </c>
      <c r="AE32" s="560"/>
      <c r="AF32" s="561"/>
      <c r="AG32" s="562">
        <f t="shared" si="1"/>
        <v>0</v>
      </c>
      <c r="AH32" s="540"/>
      <c r="AI32" s="2310">
        <f t="shared" si="2"/>
        <v>0</v>
      </c>
    </row>
    <row r="33" spans="1:36" ht="14.25" customHeight="1">
      <c r="A33" s="1541" t="s">
        <v>1137</v>
      </c>
      <c r="B33" s="2228">
        <f t="shared" si="0"/>
        <v>0</v>
      </c>
      <c r="C33" s="2509"/>
      <c r="D33" s="2513"/>
      <c r="E33" s="2509"/>
      <c r="F33" s="2228"/>
      <c r="G33" s="2509"/>
      <c r="H33" s="2513"/>
      <c r="I33" s="2507"/>
      <c r="J33" s="2743"/>
      <c r="K33" s="2507"/>
      <c r="L33" s="2743"/>
      <c r="M33" s="2507"/>
      <c r="N33" s="2914"/>
      <c r="O33" s="2507"/>
      <c r="P33" s="2914"/>
      <c r="Q33" s="2507"/>
      <c r="R33" s="2914"/>
      <c r="S33" s="2507"/>
      <c r="T33" s="2914"/>
      <c r="U33" s="2507"/>
      <c r="V33" s="2914"/>
      <c r="W33" s="2507"/>
      <c r="X33" s="2914"/>
      <c r="Y33" s="1770"/>
      <c r="Z33" s="529"/>
      <c r="AA33" s="2914">
        <v>0</v>
      </c>
      <c r="AB33" s="3294"/>
      <c r="AC33" s="3295"/>
      <c r="AD33" s="2914">
        <v>0</v>
      </c>
      <c r="AE33" s="560"/>
      <c r="AF33" s="561"/>
      <c r="AG33" s="562">
        <f t="shared" si="1"/>
        <v>0</v>
      </c>
      <c r="AH33" s="540"/>
      <c r="AI33" s="2310">
        <f t="shared" si="2"/>
        <v>0</v>
      </c>
    </row>
    <row r="34" spans="1:36" ht="14.25" customHeight="1">
      <c r="A34" s="1541" t="s">
        <v>1138</v>
      </c>
      <c r="B34" s="2228">
        <f t="shared" si="0"/>
        <v>0</v>
      </c>
      <c r="C34" s="2509"/>
      <c r="D34" s="2513"/>
      <c r="E34" s="2509"/>
      <c r="F34" s="2228"/>
      <c r="G34" s="2509"/>
      <c r="H34" s="2513"/>
      <c r="I34" s="2507"/>
      <c r="J34" s="2743"/>
      <c r="K34" s="2507"/>
      <c r="L34" s="2743"/>
      <c r="M34" s="2507"/>
      <c r="N34" s="2914"/>
      <c r="O34" s="2507"/>
      <c r="P34" s="2914"/>
      <c r="Q34" s="2507"/>
      <c r="R34" s="2914"/>
      <c r="S34" s="2507"/>
      <c r="T34" s="2914"/>
      <c r="U34" s="2507"/>
      <c r="V34" s="2914"/>
      <c r="W34" s="2507"/>
      <c r="X34" s="2914"/>
      <c r="Y34" s="1770"/>
      <c r="Z34" s="529"/>
      <c r="AA34" s="2914">
        <v>0</v>
      </c>
      <c r="AB34" s="3294"/>
      <c r="AC34" s="3295"/>
      <c r="AD34" s="2914">
        <v>0</v>
      </c>
      <c r="AE34" s="560"/>
      <c r="AF34" s="561"/>
      <c r="AG34" s="562">
        <f t="shared" si="1"/>
        <v>0</v>
      </c>
      <c r="AH34" s="540"/>
      <c r="AI34" s="2310">
        <f t="shared" si="2"/>
        <v>0</v>
      </c>
    </row>
    <row r="35" spans="1:36" ht="14.25" customHeight="1">
      <c r="A35" s="1541" t="s">
        <v>1139</v>
      </c>
      <c r="B35" s="2228">
        <f t="shared" si="0"/>
        <v>0</v>
      </c>
      <c r="C35" s="2509"/>
      <c r="D35" s="2513"/>
      <c r="E35" s="2509"/>
      <c r="F35" s="2228"/>
      <c r="G35" s="2509"/>
      <c r="H35" s="2513"/>
      <c r="I35" s="2507"/>
      <c r="J35" s="2743"/>
      <c r="K35" s="2507"/>
      <c r="L35" s="2743"/>
      <c r="M35" s="2507"/>
      <c r="N35" s="2914"/>
      <c r="O35" s="2507"/>
      <c r="P35" s="2914"/>
      <c r="Q35" s="2507"/>
      <c r="R35" s="2914"/>
      <c r="S35" s="2507"/>
      <c r="T35" s="2914"/>
      <c r="U35" s="2507"/>
      <c r="V35" s="2914"/>
      <c r="W35" s="2507"/>
      <c r="X35" s="2914"/>
      <c r="Y35" s="1770"/>
      <c r="Z35" s="541"/>
      <c r="AA35" s="2914">
        <v>0</v>
      </c>
      <c r="AB35" s="3294"/>
      <c r="AC35" s="3295"/>
      <c r="AD35" s="2914">
        <v>0</v>
      </c>
      <c r="AE35" s="560"/>
      <c r="AF35" s="561"/>
      <c r="AG35" s="562">
        <f t="shared" si="1"/>
        <v>0</v>
      </c>
      <c r="AH35" s="540"/>
      <c r="AI35" s="2310">
        <f t="shared" si="2"/>
        <v>0</v>
      </c>
    </row>
    <row r="36" spans="1:36" ht="14.25" customHeight="1">
      <c r="A36" s="1541" t="s">
        <v>1140</v>
      </c>
      <c r="B36" s="2228">
        <f t="shared" si="0"/>
        <v>0</v>
      </c>
      <c r="C36" s="2509"/>
      <c r="D36" s="2513"/>
      <c r="E36" s="2509"/>
      <c r="F36" s="2228"/>
      <c r="G36" s="2509"/>
      <c r="H36" s="2513"/>
      <c r="I36" s="2507"/>
      <c r="J36" s="2743"/>
      <c r="K36" s="2507"/>
      <c r="L36" s="2743"/>
      <c r="M36" s="2507"/>
      <c r="N36" s="2914"/>
      <c r="O36" s="2507"/>
      <c r="P36" s="2914"/>
      <c r="Q36" s="2507"/>
      <c r="R36" s="2914"/>
      <c r="S36" s="2507"/>
      <c r="T36" s="2914"/>
      <c r="U36" s="2507"/>
      <c r="V36" s="2914"/>
      <c r="W36" s="2507"/>
      <c r="X36" s="2914"/>
      <c r="Y36" s="1770"/>
      <c r="Z36" s="541"/>
      <c r="AA36" s="2914">
        <v>0</v>
      </c>
      <c r="AB36" s="3294"/>
      <c r="AC36" s="3295"/>
      <c r="AD36" s="2914">
        <v>0</v>
      </c>
      <c r="AE36" s="560"/>
      <c r="AF36" s="561"/>
      <c r="AG36" s="562">
        <f t="shared" si="1"/>
        <v>0</v>
      </c>
      <c r="AH36" s="540"/>
      <c r="AI36" s="2310">
        <f t="shared" si="2"/>
        <v>0</v>
      </c>
    </row>
    <row r="37" spans="1:36" ht="14.25" customHeight="1">
      <c r="A37" s="1541" t="s">
        <v>1130</v>
      </c>
      <c r="B37" s="2228">
        <f t="shared" si="0"/>
        <v>0.1</v>
      </c>
      <c r="C37" s="2509"/>
      <c r="D37" s="2513"/>
      <c r="E37" s="2509"/>
      <c r="F37" s="2228"/>
      <c r="G37" s="2509"/>
      <c r="H37" s="2513"/>
      <c r="I37" s="2507"/>
      <c r="J37" s="2743"/>
      <c r="K37" s="2507"/>
      <c r="L37" s="2743"/>
      <c r="M37" s="2507"/>
      <c r="N37" s="2914"/>
      <c r="O37" s="2507"/>
      <c r="P37" s="2914"/>
      <c r="Q37" s="2507"/>
      <c r="R37" s="2914"/>
      <c r="S37" s="2507"/>
      <c r="T37" s="2914"/>
      <c r="U37" s="2507"/>
      <c r="V37" s="2914"/>
      <c r="W37" s="2507"/>
      <c r="X37" s="2914"/>
      <c r="Y37" s="1770"/>
      <c r="Z37" s="541"/>
      <c r="AA37" s="2914">
        <v>0.1</v>
      </c>
      <c r="AB37" s="3294"/>
      <c r="AC37" s="3295"/>
      <c r="AD37" s="2914">
        <v>0</v>
      </c>
      <c r="AE37" s="560"/>
      <c r="AF37" s="561"/>
      <c r="AG37" s="562">
        <f t="shared" si="1"/>
        <v>0.1</v>
      </c>
      <c r="AH37" s="540"/>
      <c r="AI37" s="2310">
        <f>ROUND(IF(AD37=0,1,AG37/ABS(AD37)),3)</f>
        <v>1</v>
      </c>
    </row>
    <row r="38" spans="1:36" ht="14.25" customHeight="1">
      <c r="A38" s="1541" t="s">
        <v>1148</v>
      </c>
      <c r="B38" s="2228">
        <f t="shared" si="0"/>
        <v>0</v>
      </c>
      <c r="C38" s="2509"/>
      <c r="D38" s="2513"/>
      <c r="E38" s="2509"/>
      <c r="F38" s="2228"/>
      <c r="G38" s="2509"/>
      <c r="H38" s="2513"/>
      <c r="I38" s="2507"/>
      <c r="J38" s="2743"/>
      <c r="K38" s="2507"/>
      <c r="L38" s="2743"/>
      <c r="M38" s="2507"/>
      <c r="N38" s="2914"/>
      <c r="O38" s="2507"/>
      <c r="P38" s="2914"/>
      <c r="Q38" s="2507"/>
      <c r="R38" s="2914"/>
      <c r="S38" s="2507"/>
      <c r="T38" s="2914"/>
      <c r="U38" s="2507"/>
      <c r="V38" s="2914"/>
      <c r="W38" s="2507"/>
      <c r="X38" s="2914"/>
      <c r="Y38" s="1770"/>
      <c r="Z38" s="541"/>
      <c r="AA38" s="2914">
        <v>0</v>
      </c>
      <c r="AB38" s="3294"/>
      <c r="AC38" s="3295"/>
      <c r="AD38" s="2914">
        <v>0</v>
      </c>
      <c r="AE38" s="560"/>
      <c r="AF38" s="561"/>
      <c r="AG38" s="562">
        <f t="shared" si="1"/>
        <v>0</v>
      </c>
      <c r="AH38" s="540"/>
      <c r="AI38" s="2310">
        <f>ROUND(IF(AD38=0,0,AG38/ABS(AD38)),3)</f>
        <v>0</v>
      </c>
    </row>
    <row r="39" spans="1:36" ht="14.25" customHeight="1">
      <c r="A39" s="1541" t="s">
        <v>1149</v>
      </c>
      <c r="B39" s="2228">
        <f t="shared" si="0"/>
        <v>0</v>
      </c>
      <c r="C39" s="2509"/>
      <c r="D39" s="2513"/>
      <c r="E39" s="2509"/>
      <c r="F39" s="2228"/>
      <c r="G39" s="2509"/>
      <c r="H39" s="2513"/>
      <c r="I39" s="2507"/>
      <c r="J39" s="2743"/>
      <c r="K39" s="2507"/>
      <c r="L39" s="2743"/>
      <c r="M39" s="2507"/>
      <c r="N39" s="2914"/>
      <c r="O39" s="2507"/>
      <c r="P39" s="2914"/>
      <c r="Q39" s="2507"/>
      <c r="R39" s="2914"/>
      <c r="S39" s="2507"/>
      <c r="T39" s="2914"/>
      <c r="U39" s="2507"/>
      <c r="V39" s="2914"/>
      <c r="W39" s="2507"/>
      <c r="X39" s="2914"/>
      <c r="Y39" s="1770"/>
      <c r="Z39" s="541"/>
      <c r="AA39" s="2914">
        <v>0</v>
      </c>
      <c r="AB39" s="3294"/>
      <c r="AC39" s="3295"/>
      <c r="AD39" s="2914">
        <v>0</v>
      </c>
      <c r="AE39" s="560"/>
      <c r="AF39" s="561"/>
      <c r="AG39" s="562">
        <f t="shared" si="1"/>
        <v>0</v>
      </c>
      <c r="AH39" s="540"/>
      <c r="AI39" s="45">
        <f t="shared" si="2"/>
        <v>0</v>
      </c>
    </row>
    <row r="40" spans="1:36" ht="14.25" customHeight="1">
      <c r="A40" s="1541" t="s">
        <v>1258</v>
      </c>
      <c r="B40" s="2228" t="s">
        <v>15</v>
      </c>
      <c r="C40" s="2509"/>
      <c r="D40" s="2513"/>
      <c r="E40" s="2509"/>
      <c r="F40" s="2228"/>
      <c r="G40" s="2509"/>
      <c r="H40" s="2513"/>
      <c r="I40" s="2507"/>
      <c r="J40" s="2743"/>
      <c r="K40" s="2507"/>
      <c r="L40" s="2743"/>
      <c r="M40" s="2507"/>
      <c r="N40" s="2914"/>
      <c r="O40" s="2507"/>
      <c r="P40" s="2914"/>
      <c r="Q40" s="2507"/>
      <c r="R40" s="2914"/>
      <c r="S40" s="2507"/>
      <c r="T40" s="2914"/>
      <c r="U40" s="2507"/>
      <c r="V40" s="2914"/>
      <c r="W40" s="2507"/>
      <c r="X40" s="2914"/>
      <c r="Y40" s="1770"/>
      <c r="Z40" s="541"/>
      <c r="AA40" s="2914"/>
      <c r="AB40" s="3294"/>
      <c r="AC40" s="3295"/>
      <c r="AD40" s="2914"/>
      <c r="AE40" s="560"/>
      <c r="AF40" s="561"/>
      <c r="AG40" s="562"/>
      <c r="AH40" s="540"/>
      <c r="AI40" s="563"/>
    </row>
    <row r="41" spans="1:36" ht="14.25" customHeight="1">
      <c r="A41" s="1541" t="s">
        <v>1337</v>
      </c>
      <c r="B41" s="2228">
        <f t="shared" si="0"/>
        <v>43.800000000000004</v>
      </c>
      <c r="C41" s="2509"/>
      <c r="D41" s="2513"/>
      <c r="E41" s="2509"/>
      <c r="F41" s="2228"/>
      <c r="G41" s="2509"/>
      <c r="H41" s="2513"/>
      <c r="I41" s="2507"/>
      <c r="J41" s="2743"/>
      <c r="K41" s="2507"/>
      <c r="L41" s="2743"/>
      <c r="M41" s="2507"/>
      <c r="N41" s="2914"/>
      <c r="O41" s="2507"/>
      <c r="P41" s="2914"/>
      <c r="Q41" s="2507"/>
      <c r="R41" s="2914"/>
      <c r="S41" s="2507"/>
      <c r="T41" s="2914"/>
      <c r="U41" s="2507"/>
      <c r="V41" s="2914"/>
      <c r="W41" s="2507"/>
      <c r="X41" s="2914"/>
      <c r="Y41" s="1770"/>
      <c r="Z41" s="541"/>
      <c r="AA41" s="2914">
        <v>43.800000000000004</v>
      </c>
      <c r="AB41" s="3294"/>
      <c r="AC41" s="3295"/>
      <c r="AD41" s="2914">
        <v>50.2</v>
      </c>
      <c r="AE41" s="560"/>
      <c r="AF41" s="561"/>
      <c r="AG41" s="562">
        <f>ROUND(SUM(AA41-AD41),1)</f>
        <v>-6.4</v>
      </c>
      <c r="AH41" s="540"/>
      <c r="AI41" s="2231">
        <f>ROUND(IF(AD41=0,0,AG41/ABS(AD41)),3)</f>
        <v>-0.127</v>
      </c>
    </row>
    <row r="42" spans="1:36" ht="14.25" customHeight="1">
      <c r="A42" s="1541" t="s">
        <v>1158</v>
      </c>
      <c r="B42" s="2228">
        <f t="shared" si="0"/>
        <v>0</v>
      </c>
      <c r="C42" s="2509"/>
      <c r="D42" s="2513"/>
      <c r="E42" s="2509"/>
      <c r="F42" s="2228"/>
      <c r="G42" s="2509"/>
      <c r="H42" s="2513"/>
      <c r="I42" s="2507"/>
      <c r="J42" s="2743"/>
      <c r="K42" s="2507"/>
      <c r="L42" s="2743"/>
      <c r="M42" s="2507"/>
      <c r="N42" s="2914"/>
      <c r="O42" s="2507"/>
      <c r="P42" s="2914"/>
      <c r="Q42" s="2507"/>
      <c r="R42" s="2914"/>
      <c r="S42" s="2507"/>
      <c r="T42" s="2914"/>
      <c r="U42" s="2507"/>
      <c r="V42" s="2914"/>
      <c r="W42" s="2507"/>
      <c r="X42" s="2914"/>
      <c r="Y42" s="3544"/>
      <c r="Z42" s="541"/>
      <c r="AA42" s="2914">
        <v>0</v>
      </c>
      <c r="AB42" s="3545"/>
      <c r="AC42" s="3295"/>
      <c r="AD42" s="2914">
        <v>0</v>
      </c>
      <c r="AE42" s="560"/>
      <c r="AF42" s="561"/>
      <c r="AG42" s="562">
        <f>ROUND(SUM(AA42-AD42),1)</f>
        <v>0</v>
      </c>
      <c r="AH42" s="540"/>
      <c r="AI42" s="2352">
        <f>ROUND(IF(AD42=0,0,AG42/ABS(AD42)),3)</f>
        <v>0</v>
      </c>
    </row>
    <row r="43" spans="1:36" ht="14.25" customHeight="1">
      <c r="A43" s="1541" t="s">
        <v>1159</v>
      </c>
      <c r="B43" s="2228">
        <f t="shared" si="0"/>
        <v>0</v>
      </c>
      <c r="C43" s="2509"/>
      <c r="D43" s="2513"/>
      <c r="E43" s="2509"/>
      <c r="F43" s="2228"/>
      <c r="G43" s="2509"/>
      <c r="H43" s="2513"/>
      <c r="I43" s="2507"/>
      <c r="J43" s="2743"/>
      <c r="K43" s="2507"/>
      <c r="L43" s="2743"/>
      <c r="M43" s="2507"/>
      <c r="N43" s="2914"/>
      <c r="O43" s="2507"/>
      <c r="P43" s="2914"/>
      <c r="Q43" s="2507"/>
      <c r="R43" s="2914"/>
      <c r="S43" s="2507"/>
      <c r="T43" s="2914"/>
      <c r="U43" s="2507"/>
      <c r="V43" s="2914"/>
      <c r="W43" s="2507"/>
      <c r="X43" s="2914"/>
      <c r="Y43" s="1770"/>
      <c r="Z43" s="541"/>
      <c r="AA43" s="2914">
        <v>0</v>
      </c>
      <c r="AB43" s="3294"/>
      <c r="AC43" s="3295"/>
      <c r="AD43" s="2914">
        <v>0</v>
      </c>
      <c r="AE43" s="560"/>
      <c r="AF43" s="561"/>
      <c r="AG43" s="562">
        <f>ROUND(SUM(AA43-AD43),1)</f>
        <v>0</v>
      </c>
      <c r="AH43" s="540"/>
      <c r="AI43" s="2310">
        <f>ROUND(IF(AD43=0,0,AG43/ABS(AD43)),3)</f>
        <v>0</v>
      </c>
    </row>
    <row r="44" spans="1:36" s="572" customFormat="1" ht="15.75">
      <c r="A44" s="555" t="s">
        <v>1195</v>
      </c>
      <c r="B44" s="3370">
        <f>ROUND(SUM(B29:B43),1)</f>
        <v>43.9</v>
      </c>
      <c r="C44" s="3052"/>
      <c r="D44" s="463">
        <f>ROUND(SUM(D29:D43),1)</f>
        <v>0</v>
      </c>
      <c r="E44" s="3052"/>
      <c r="F44" s="463">
        <f>ROUND(SUM(F29:F43),1)</f>
        <v>0</v>
      </c>
      <c r="G44" s="3052"/>
      <c r="H44" s="463">
        <f>ROUND(SUM(H29:H43),1)</f>
        <v>0</v>
      </c>
      <c r="I44" s="567"/>
      <c r="J44" s="249">
        <f>ROUND(SUM(J29:J43),1)</f>
        <v>0</v>
      </c>
      <c r="K44" s="567"/>
      <c r="L44" s="249">
        <f>ROUND(SUM(L29:L43),1)</f>
        <v>0</v>
      </c>
      <c r="M44" s="567"/>
      <c r="N44" s="249">
        <f>ROUND(SUM(N29:N43),1)</f>
        <v>0</v>
      </c>
      <c r="O44" s="567"/>
      <c r="P44" s="249">
        <f>ROUND(SUM(P29:P43),1)</f>
        <v>0</v>
      </c>
      <c r="Q44" s="567"/>
      <c r="R44" s="249">
        <f>ROUND(SUM(R29:R43),1)</f>
        <v>0</v>
      </c>
      <c r="S44" s="567"/>
      <c r="T44" s="249">
        <f>ROUND(SUM(T29:T43),1)</f>
        <v>0</v>
      </c>
      <c r="U44" s="567"/>
      <c r="V44" s="502">
        <f>ROUND(SUM(V29:V43),1)</f>
        <v>0</v>
      </c>
      <c r="W44" s="567"/>
      <c r="X44" s="502">
        <f>ROUND(SUM(X29:X43),1)</f>
        <v>0</v>
      </c>
      <c r="Y44" s="569"/>
      <c r="Z44" s="567"/>
      <c r="AA44" s="502">
        <f>ROUND(SUM(AA29:AA43),1)</f>
        <v>43.9</v>
      </c>
      <c r="AB44" s="569"/>
      <c r="AC44" s="567"/>
      <c r="AD44" s="502">
        <f>ROUND(SUM(AD29:AD43),1)</f>
        <v>50.2</v>
      </c>
      <c r="AE44" s="570"/>
      <c r="AF44" s="571"/>
      <c r="AG44" s="249">
        <f>ROUND(SUM(AG29:AG43),1)</f>
        <v>-6.3</v>
      </c>
      <c r="AH44" s="549"/>
      <c r="AI44" s="3510">
        <f>ROUND(IF(AD44=0,0,AG44/ABS(AD44)),3)</f>
        <v>-0.125</v>
      </c>
      <c r="AJ44" s="916"/>
    </row>
    <row r="45" spans="1:36" s="572" customFormat="1" ht="14.25" customHeight="1">
      <c r="A45" s="555"/>
      <c r="B45" s="2330"/>
      <c r="C45" s="3052"/>
      <c r="D45" s="2503"/>
      <c r="E45" s="3052"/>
      <c r="F45" s="2503"/>
      <c r="G45" s="3052"/>
      <c r="H45" s="2503"/>
      <c r="I45" s="567"/>
      <c r="J45" s="264"/>
      <c r="K45" s="567"/>
      <c r="L45" s="2503"/>
      <c r="M45" s="567"/>
      <c r="N45" s="264"/>
      <c r="O45" s="567"/>
      <c r="P45" s="264"/>
      <c r="Q45" s="567"/>
      <c r="R45" s="264"/>
      <c r="S45" s="567"/>
      <c r="T45" s="264"/>
      <c r="U45" s="567"/>
      <c r="V45" s="304"/>
      <c r="W45" s="567"/>
      <c r="X45" s="304"/>
      <c r="Y45" s="1773"/>
      <c r="Z45" s="567"/>
      <c r="AA45" s="304"/>
      <c r="AB45" s="1773"/>
      <c r="AC45" s="567"/>
      <c r="AD45" s="2503"/>
      <c r="AE45" s="570"/>
      <c r="AF45" s="571"/>
      <c r="AG45" s="1774"/>
      <c r="AH45" s="549"/>
      <c r="AI45" s="550"/>
      <c r="AJ45" s="916"/>
    </row>
    <row r="46" spans="1:36" ht="15">
      <c r="A46" s="1354" t="s">
        <v>1025</v>
      </c>
      <c r="B46" s="2228">
        <f>$AA46</f>
        <v>0</v>
      </c>
      <c r="C46" s="2510"/>
      <c r="D46" s="2513"/>
      <c r="E46" s="2510"/>
      <c r="F46" s="2228"/>
      <c r="G46" s="2509"/>
      <c r="H46" s="3504"/>
      <c r="I46" s="557"/>
      <c r="J46" s="2743"/>
      <c r="K46" s="557"/>
      <c r="L46" s="2743"/>
      <c r="M46" s="557"/>
      <c r="N46" s="2914"/>
      <c r="O46" s="557"/>
      <c r="P46" s="2914"/>
      <c r="Q46" s="557"/>
      <c r="R46" s="2914"/>
      <c r="S46" s="557"/>
      <c r="T46" s="2914"/>
      <c r="U46" s="557"/>
      <c r="V46" s="2914"/>
      <c r="W46" s="557"/>
      <c r="X46" s="2914"/>
      <c r="Y46" s="559"/>
      <c r="Z46" s="557"/>
      <c r="AA46" s="2745">
        <v>0</v>
      </c>
      <c r="AB46" s="559"/>
      <c r="AC46" s="557"/>
      <c r="AD46" s="2745">
        <v>0</v>
      </c>
      <c r="AE46" s="560"/>
      <c r="AF46" s="561"/>
      <c r="AG46" s="565">
        <f>ROUND(SUM(AA46-AD46),1)</f>
        <v>0</v>
      </c>
      <c r="AH46" s="540"/>
      <c r="AI46" s="1554">
        <f>ROUND(IF(AD46=0,0,AG46/ABS(AD46)),3)</f>
        <v>0</v>
      </c>
    </row>
    <row r="47" spans="1:36" ht="12" customHeight="1">
      <c r="A47" s="529"/>
      <c r="B47" s="3714"/>
      <c r="C47" s="2509"/>
      <c r="D47" s="3498"/>
      <c r="E47" s="2509"/>
      <c r="F47" s="3498"/>
      <c r="G47" s="2509"/>
      <c r="H47" s="2509"/>
      <c r="I47" s="557"/>
      <c r="J47" s="3452"/>
      <c r="K47" s="557"/>
      <c r="L47" s="3452"/>
      <c r="M47" s="557"/>
      <c r="N47" s="3452"/>
      <c r="O47" s="557"/>
      <c r="P47" s="3452"/>
      <c r="Q47" s="557"/>
      <c r="R47" s="3452"/>
      <c r="S47" s="557"/>
      <c r="T47" s="3452"/>
      <c r="U47" s="557"/>
      <c r="V47" s="3452"/>
      <c r="W47" s="557"/>
      <c r="X47" s="3452"/>
      <c r="Y47" s="559"/>
      <c r="Z47" s="557"/>
      <c r="AA47" s="2509"/>
      <c r="AB47" s="559"/>
      <c r="AC47" s="557"/>
      <c r="AD47" s="2509"/>
      <c r="AE47" s="560"/>
      <c r="AF47" s="561"/>
      <c r="AG47" s="562"/>
      <c r="AH47" s="540"/>
      <c r="AI47" s="541"/>
    </row>
    <row r="48" spans="1:36" ht="14.25" customHeight="1">
      <c r="A48" s="555" t="s">
        <v>190</v>
      </c>
      <c r="B48" s="3715">
        <f>B25+B44+B46</f>
        <v>3561.8</v>
      </c>
      <c r="C48" s="3054"/>
      <c r="D48" s="3053">
        <f>ROUND(SUM(D25+D44+D46),1)</f>
        <v>0</v>
      </c>
      <c r="E48" s="3055"/>
      <c r="F48" s="3053">
        <f>ROUND(SUM(F25+F44+F46),1)</f>
        <v>0</v>
      </c>
      <c r="G48" s="3055"/>
      <c r="H48" s="3053">
        <f>ROUND(SUM(H25+H44+H46),1)</f>
        <v>0</v>
      </c>
      <c r="I48" s="568"/>
      <c r="J48" s="566">
        <f>ROUND(SUM(J25+J44+J46),1)</f>
        <v>0</v>
      </c>
      <c r="K48" s="568"/>
      <c r="L48" s="566">
        <f>ROUND(SUM(L25+L44+L46),1)</f>
        <v>0</v>
      </c>
      <c r="M48" s="568"/>
      <c r="N48" s="566">
        <f>ROUND(SUM(N25+N44+N46),1)</f>
        <v>0</v>
      </c>
      <c r="O48" s="568"/>
      <c r="P48" s="566">
        <f>ROUND(SUM(P25+P44+P46),1)</f>
        <v>0</v>
      </c>
      <c r="Q48" s="568"/>
      <c r="R48" s="566">
        <f>ROUND(SUM(R25+R44+R46),1)</f>
        <v>0</v>
      </c>
      <c r="S48" s="568"/>
      <c r="T48" s="566">
        <f>ROUND(SUM(T25+T44+T46),1)</f>
        <v>0</v>
      </c>
      <c r="U48" s="568"/>
      <c r="V48" s="566">
        <f>ROUND(SUM(V25+V44+V46),1)</f>
        <v>0</v>
      </c>
      <c r="W48" s="568"/>
      <c r="X48" s="566">
        <f>ROUND(SUM(X25+X44+X46),1)</f>
        <v>0</v>
      </c>
      <c r="Y48" s="569"/>
      <c r="Z48" s="567"/>
      <c r="AA48" s="566">
        <f>ROUND(SUM(AA25+AA44+AA46),1)</f>
        <v>3561.8</v>
      </c>
      <c r="AB48" s="569"/>
      <c r="AC48" s="567"/>
      <c r="AD48" s="566">
        <f>ROUND(SUM(AD25+AD44+AD46),1)</f>
        <v>1868.5</v>
      </c>
      <c r="AE48" s="570"/>
      <c r="AF48" s="571"/>
      <c r="AG48" s="566">
        <f>ROUND(SUM(AG25+AG44+AG46),1)</f>
        <v>1693.3</v>
      </c>
      <c r="AH48" s="549"/>
      <c r="AI48" s="1658">
        <f>ROUND(IF(AD48=0,0,AG48/ABS(AD48)),3)</f>
        <v>0.90600000000000003</v>
      </c>
      <c r="AJ48" s="917"/>
    </row>
    <row r="49" spans="1:36" ht="19.5" customHeight="1">
      <c r="A49" s="529"/>
      <c r="B49" s="3314"/>
      <c r="C49" s="2509"/>
      <c r="D49" s="2509"/>
      <c r="E49" s="2509"/>
      <c r="F49" s="2509"/>
      <c r="G49" s="2509"/>
      <c r="H49" s="2509"/>
      <c r="I49" s="557"/>
      <c r="J49" s="557"/>
      <c r="K49" s="557"/>
      <c r="L49" s="557"/>
      <c r="M49" s="557"/>
      <c r="N49" s="557"/>
      <c r="O49" s="557"/>
      <c r="P49" s="557"/>
      <c r="Q49" s="557"/>
      <c r="R49" s="557"/>
      <c r="S49" s="557"/>
      <c r="T49" s="557"/>
      <c r="U49" s="557"/>
      <c r="V49" s="557"/>
      <c r="W49" s="557"/>
      <c r="X49" s="557"/>
      <c r="Y49" s="559"/>
      <c r="Z49" s="557"/>
      <c r="AA49" s="2509"/>
      <c r="AB49" s="559"/>
      <c r="AC49" s="557"/>
      <c r="AD49" s="2509"/>
      <c r="AE49" s="560"/>
      <c r="AF49" s="561"/>
      <c r="AG49" s="562"/>
      <c r="AH49" s="540"/>
      <c r="AI49" s="541"/>
    </row>
    <row r="50" spans="1:36" ht="15.75">
      <c r="A50" s="573" t="s">
        <v>191</v>
      </c>
      <c r="B50" s="3314"/>
      <c r="C50" s="2509"/>
      <c r="D50" s="2509"/>
      <c r="E50" s="2509"/>
      <c r="F50" s="2509"/>
      <c r="G50" s="2509"/>
      <c r="H50" s="2509"/>
      <c r="I50" s="557"/>
      <c r="J50" s="557"/>
      <c r="K50" s="557"/>
      <c r="L50" s="557"/>
      <c r="M50" s="557"/>
      <c r="N50" s="557"/>
      <c r="O50" s="557"/>
      <c r="P50" s="557"/>
      <c r="Q50" s="557"/>
      <c r="R50" s="557"/>
      <c r="S50" s="557"/>
      <c r="T50" s="557"/>
      <c r="U50" s="557"/>
      <c r="V50" s="557"/>
      <c r="W50" s="557"/>
      <c r="X50" s="557"/>
      <c r="Y50" s="559"/>
      <c r="Z50" s="557"/>
      <c r="AA50" s="2509"/>
      <c r="AB50" s="559"/>
      <c r="AC50" s="557"/>
      <c r="AD50" s="2509"/>
      <c r="AE50" s="560"/>
      <c r="AF50" s="561"/>
      <c r="AG50" s="562"/>
      <c r="AH50" s="540"/>
      <c r="AI50" s="541"/>
    </row>
    <row r="51" spans="1:36" ht="14.25" customHeight="1">
      <c r="A51" s="574" t="s">
        <v>154</v>
      </c>
      <c r="B51" s="3314"/>
      <c r="C51" s="2509"/>
      <c r="D51" s="2509"/>
      <c r="E51" s="2509"/>
      <c r="F51" s="2509"/>
      <c r="G51" s="2509"/>
      <c r="H51" s="2509"/>
      <c r="I51" s="557"/>
      <c r="J51" s="557"/>
      <c r="K51" s="557"/>
      <c r="L51" s="557"/>
      <c r="M51" s="557"/>
      <c r="N51" s="557"/>
      <c r="O51" s="557"/>
      <c r="P51" s="557"/>
      <c r="Q51" s="557"/>
      <c r="R51" s="557"/>
      <c r="S51" s="557"/>
      <c r="T51" s="557"/>
      <c r="U51" s="557"/>
      <c r="V51" s="557"/>
      <c r="W51" s="557"/>
      <c r="X51" s="557"/>
      <c r="Y51" s="559"/>
      <c r="Z51" s="557"/>
      <c r="AA51" s="2509"/>
      <c r="AB51" s="559"/>
      <c r="AC51" s="557"/>
      <c r="AD51" s="2509"/>
      <c r="AE51" s="560"/>
      <c r="AF51" s="561"/>
      <c r="AG51" s="562"/>
      <c r="AH51" s="540"/>
      <c r="AI51" s="541"/>
    </row>
    <row r="52" spans="1:36" ht="14.25" customHeight="1">
      <c r="A52" s="574" t="s">
        <v>38</v>
      </c>
      <c r="B52" s="2228">
        <f>$AA52</f>
        <v>0.8</v>
      </c>
      <c r="C52" s="2509"/>
      <c r="D52" s="2513"/>
      <c r="E52" s="3056"/>
      <c r="F52" s="2228"/>
      <c r="G52" s="2509"/>
      <c r="H52" s="2513"/>
      <c r="I52" s="557"/>
      <c r="J52" s="2743"/>
      <c r="K52" s="557"/>
      <c r="L52" s="2743"/>
      <c r="M52" s="557"/>
      <c r="N52" s="2914"/>
      <c r="O52" s="557"/>
      <c r="P52" s="2914"/>
      <c r="Q52" s="557"/>
      <c r="R52" s="2914"/>
      <c r="S52" s="557"/>
      <c r="T52" s="2914"/>
      <c r="U52" s="557"/>
      <c r="V52" s="2914"/>
      <c r="W52" s="557"/>
      <c r="X52" s="2914"/>
      <c r="Y52" s="559"/>
      <c r="Z52" s="557"/>
      <c r="AA52" s="2511">
        <v>0.8</v>
      </c>
      <c r="AB52" s="559"/>
      <c r="AC52" s="557"/>
      <c r="AD52" s="2511">
        <v>0.9</v>
      </c>
      <c r="AE52" s="560"/>
      <c r="AF52" s="561"/>
      <c r="AG52" s="562">
        <f>ROUND(SUM(AA52-AD52),1)</f>
        <v>-0.1</v>
      </c>
      <c r="AH52" s="540"/>
      <c r="AI52" s="2231">
        <f>ROUND(IF(AD52=0,0,AG52/ABS(AD52)),3)</f>
        <v>-0.111</v>
      </c>
    </row>
    <row r="53" spans="1:36" ht="14.25" customHeight="1">
      <c r="A53" s="2018" t="s">
        <v>1266</v>
      </c>
      <c r="B53" s="2228" t="s">
        <v>15</v>
      </c>
      <c r="C53" s="2509"/>
      <c r="D53" s="2509"/>
      <c r="E53" s="2509"/>
      <c r="F53" s="2509"/>
      <c r="G53" s="2509"/>
      <c r="H53" s="2513"/>
      <c r="I53" s="557"/>
      <c r="J53" s="2743"/>
      <c r="K53" s="557"/>
      <c r="L53" s="2743"/>
      <c r="M53" s="557"/>
      <c r="N53" s="2914"/>
      <c r="O53" s="557"/>
      <c r="P53" s="557"/>
      <c r="Q53" s="557"/>
      <c r="R53" s="2743"/>
      <c r="S53" s="557"/>
      <c r="T53" s="2914"/>
      <c r="U53" s="557"/>
      <c r="V53" s="2914"/>
      <c r="W53" s="557"/>
      <c r="X53" s="2914"/>
      <c r="Y53" s="559"/>
      <c r="Z53" s="557"/>
      <c r="AA53" s="2509"/>
      <c r="AB53" s="559"/>
      <c r="AC53" s="557"/>
      <c r="AD53" s="2509"/>
      <c r="AE53" s="560"/>
      <c r="AF53" s="561"/>
      <c r="AG53" s="562"/>
      <c r="AH53" s="540"/>
      <c r="AI53" s="541"/>
    </row>
    <row r="54" spans="1:36" ht="14.25" customHeight="1">
      <c r="A54" s="2019" t="s">
        <v>1265</v>
      </c>
      <c r="B54" s="2228">
        <f t="shared" ref="B54" si="3">$AA54</f>
        <v>64.099999999999994</v>
      </c>
      <c r="C54" s="2509"/>
      <c r="D54" s="2513"/>
      <c r="E54" s="2509"/>
      <c r="F54" s="2228"/>
      <c r="G54" s="2509"/>
      <c r="H54" s="3504"/>
      <c r="I54" s="557"/>
      <c r="J54" s="2743"/>
      <c r="K54" s="557"/>
      <c r="L54" s="2743"/>
      <c r="M54" s="557"/>
      <c r="N54" s="2914"/>
      <c r="O54" s="557"/>
      <c r="P54" s="2914"/>
      <c r="Q54" s="557"/>
      <c r="R54" s="2914"/>
      <c r="S54" s="557"/>
      <c r="T54" s="2914"/>
      <c r="U54" s="557"/>
      <c r="V54" s="2914"/>
      <c r="W54" s="557"/>
      <c r="X54" s="2914"/>
      <c r="Y54" s="559"/>
      <c r="Z54" s="557"/>
      <c r="AA54" s="2746">
        <v>64.099999999999994</v>
      </c>
      <c r="AB54" s="559"/>
      <c r="AC54" s="557"/>
      <c r="AD54" s="2746">
        <v>87.2</v>
      </c>
      <c r="AE54" s="560"/>
      <c r="AF54" s="561"/>
      <c r="AG54" s="575">
        <f>ROUND(SUM(AA54-AD54),1)</f>
        <v>-23.1</v>
      </c>
      <c r="AH54" s="540"/>
      <c r="AI54" s="1554">
        <f>ROUND(IF(AD54=0,0,AG54/ABS(AD54)),3)</f>
        <v>-0.26500000000000001</v>
      </c>
    </row>
    <row r="55" spans="1:36" ht="15">
      <c r="A55" s="529"/>
      <c r="B55" s="3714"/>
      <c r="C55" s="2509"/>
      <c r="D55" s="3498"/>
      <c r="E55" s="2509"/>
      <c r="F55" s="3498"/>
      <c r="G55" s="2509"/>
      <c r="H55" s="2509"/>
      <c r="I55" s="557"/>
      <c r="J55" s="3452"/>
      <c r="K55" s="557"/>
      <c r="L55" s="3452"/>
      <c r="M55" s="557"/>
      <c r="N55" s="3452"/>
      <c r="O55" s="557"/>
      <c r="P55" s="3452"/>
      <c r="Q55" s="557"/>
      <c r="R55" s="3452"/>
      <c r="S55" s="557"/>
      <c r="T55" s="3452"/>
      <c r="U55" s="557"/>
      <c r="V55" s="3452"/>
      <c r="W55" s="557"/>
      <c r="X55" s="3452"/>
      <c r="Y55" s="559"/>
      <c r="Z55" s="557"/>
      <c r="AA55" s="2509"/>
      <c r="AB55" s="559"/>
      <c r="AC55" s="557"/>
      <c r="AD55" s="2509"/>
      <c r="AE55" s="560"/>
      <c r="AF55" s="561"/>
      <c r="AG55" s="562"/>
      <c r="AH55" s="540"/>
      <c r="AI55" s="541"/>
    </row>
    <row r="56" spans="1:36" ht="14.25" customHeight="1">
      <c r="A56" s="573" t="s">
        <v>192</v>
      </c>
      <c r="B56" s="3715">
        <f>ROUND(SUM(B52:B54),1)</f>
        <v>64.900000000000006</v>
      </c>
      <c r="C56" s="3054"/>
      <c r="D56" s="3053">
        <f>ROUND(SUM(D52:D54),1)</f>
        <v>0</v>
      </c>
      <c r="E56" s="3055"/>
      <c r="F56" s="3053">
        <f>ROUND(SUM(F52:F54),1)</f>
        <v>0</v>
      </c>
      <c r="G56" s="3055"/>
      <c r="H56" s="3053">
        <f>ROUND(SUM(H52:H54),1)</f>
        <v>0</v>
      </c>
      <c r="I56" s="568"/>
      <c r="J56" s="566">
        <f>ROUND(SUM(J52:J54),1)</f>
        <v>0</v>
      </c>
      <c r="K56" s="568"/>
      <c r="L56" s="566">
        <f>ROUND(SUM(L52:L54),1)</f>
        <v>0</v>
      </c>
      <c r="M56" s="568"/>
      <c r="N56" s="566">
        <f>ROUND(SUM(N52:N54),1)</f>
        <v>0</v>
      </c>
      <c r="O56" s="568"/>
      <c r="P56" s="566">
        <f>ROUND(SUM(P52:P54),1)</f>
        <v>0</v>
      </c>
      <c r="Q56" s="568"/>
      <c r="R56" s="566">
        <f>ROUND(SUM(R52:R54),1)</f>
        <v>0</v>
      </c>
      <c r="S56" s="568"/>
      <c r="T56" s="566">
        <f>ROUND(SUM(T52:T54),1)</f>
        <v>0</v>
      </c>
      <c r="U56" s="568"/>
      <c r="V56" s="566">
        <f>ROUND(SUM(V52:V54),1)</f>
        <v>0</v>
      </c>
      <c r="W56" s="568"/>
      <c r="X56" s="566">
        <f>ROUND(SUM(X52:X54),1)</f>
        <v>0</v>
      </c>
      <c r="Y56" s="569"/>
      <c r="Z56" s="567"/>
      <c r="AA56" s="566">
        <f>ROUND(SUM(AA52:AA54),1)</f>
        <v>64.900000000000006</v>
      </c>
      <c r="AB56" s="569"/>
      <c r="AC56" s="567"/>
      <c r="AD56" s="566">
        <f>ROUND(SUM(AD52:AD54),1)</f>
        <v>88.1</v>
      </c>
      <c r="AE56" s="570"/>
      <c r="AF56" s="571"/>
      <c r="AG56" s="566">
        <f>ROUND(SUM(AG52:AG54),1)</f>
        <v>-23.2</v>
      </c>
      <c r="AH56" s="549"/>
      <c r="AI56" s="1658">
        <f>ROUND(IF(AD56=0,0,AG56/ABS(AD56)),3)</f>
        <v>-0.26300000000000001</v>
      </c>
      <c r="AJ56" s="918"/>
    </row>
    <row r="57" spans="1:36" ht="12" customHeight="1">
      <c r="A57" s="529"/>
      <c r="B57" s="3314"/>
      <c r="C57" s="2509"/>
      <c r="D57" s="3057"/>
      <c r="E57" s="3057"/>
      <c r="F57" s="3057"/>
      <c r="G57" s="3057"/>
      <c r="H57" s="3057"/>
      <c r="I57" s="558"/>
      <c r="J57" s="558"/>
      <c r="K57" s="558"/>
      <c r="L57" s="558"/>
      <c r="M57" s="558"/>
      <c r="N57" s="558"/>
      <c r="O57" s="558"/>
      <c r="P57" s="558"/>
      <c r="Q57" s="558"/>
      <c r="R57" s="558"/>
      <c r="S57" s="558"/>
      <c r="T57" s="558"/>
      <c r="U57" s="558"/>
      <c r="V57" s="558"/>
      <c r="W57" s="558"/>
      <c r="X57" s="558"/>
      <c r="Y57" s="559"/>
      <c r="Z57" s="557"/>
      <c r="AA57" s="2509"/>
      <c r="AB57" s="559"/>
      <c r="AC57" s="557"/>
      <c r="AD57" s="2509"/>
      <c r="AE57" s="560"/>
      <c r="AF57" s="561"/>
      <c r="AG57" s="562"/>
      <c r="AH57" s="540"/>
      <c r="AI57" s="541"/>
    </row>
    <row r="58" spans="1:36" ht="14.25" customHeight="1">
      <c r="A58" s="573" t="s">
        <v>44</v>
      </c>
      <c r="B58" s="3314"/>
      <c r="C58" s="2509"/>
      <c r="D58" s="3057"/>
      <c r="E58" s="3057"/>
      <c r="F58" s="3057"/>
      <c r="G58" s="3057"/>
      <c r="H58" s="3057"/>
      <c r="I58" s="558"/>
      <c r="J58" s="558"/>
      <c r="K58" s="558"/>
      <c r="L58" s="558"/>
      <c r="M58" s="558"/>
      <c r="N58" s="558"/>
      <c r="O58" s="558"/>
      <c r="P58" s="558"/>
      <c r="Q58" s="558"/>
      <c r="R58" s="558"/>
      <c r="S58" s="558"/>
      <c r="T58" s="558"/>
      <c r="U58" s="558"/>
      <c r="V58" s="558"/>
      <c r="W58" s="558"/>
      <c r="X58" s="558"/>
      <c r="Y58" s="559"/>
      <c r="Z58" s="557"/>
      <c r="AA58" s="2509"/>
      <c r="AB58" s="559"/>
      <c r="AC58" s="557"/>
      <c r="AD58" s="2509"/>
      <c r="AE58" s="560"/>
      <c r="AF58" s="561"/>
      <c r="AG58" s="562"/>
      <c r="AH58" s="540"/>
      <c r="AI58" s="541"/>
    </row>
    <row r="59" spans="1:36" ht="14.25" customHeight="1">
      <c r="A59" s="555" t="s">
        <v>193</v>
      </c>
      <c r="B59" s="3715">
        <f>ROUND(SUM(B48-B56),1)</f>
        <v>3496.9</v>
      </c>
      <c r="C59" s="3054"/>
      <c r="D59" s="3053">
        <f>ROUND(SUM(D48-D56),1)</f>
        <v>0</v>
      </c>
      <c r="E59" s="3058"/>
      <c r="F59" s="3053">
        <f>ROUND(SUM(F48-F56),1)</f>
        <v>0</v>
      </c>
      <c r="G59" s="3055"/>
      <c r="H59" s="3053">
        <f>ROUND(SUM(H48-H56),1)</f>
        <v>0</v>
      </c>
      <c r="I59" s="568"/>
      <c r="J59" s="566">
        <f>ROUND(SUM(J48-J56),1)</f>
        <v>0</v>
      </c>
      <c r="K59" s="568"/>
      <c r="L59" s="566">
        <f>ROUND(SUM(L48-L56),1)</f>
        <v>0</v>
      </c>
      <c r="M59" s="568"/>
      <c r="N59" s="566">
        <f>ROUND(SUM(N48-N56),1)</f>
        <v>0</v>
      </c>
      <c r="O59" s="568"/>
      <c r="P59" s="566">
        <f>ROUND(SUM(P48-P56),1)</f>
        <v>0</v>
      </c>
      <c r="Q59" s="568"/>
      <c r="R59" s="566">
        <f>ROUND(SUM(R48-R56),1)</f>
        <v>0</v>
      </c>
      <c r="S59" s="568"/>
      <c r="T59" s="566">
        <f>ROUND(SUM(T48-T56),1)</f>
        <v>0</v>
      </c>
      <c r="U59" s="568"/>
      <c r="V59" s="566">
        <f>ROUND(SUM(V48-V56),1)</f>
        <v>0</v>
      </c>
      <c r="W59" s="568"/>
      <c r="X59" s="566">
        <f>ROUND(SUM(X48-X56),1)</f>
        <v>0</v>
      </c>
      <c r="Y59" s="569"/>
      <c r="Z59" s="567"/>
      <c r="AA59" s="566">
        <f>ROUND(SUM(AA48-AA56),1)</f>
        <v>3496.9</v>
      </c>
      <c r="AB59" s="569"/>
      <c r="AC59" s="567"/>
      <c r="AD59" s="566">
        <f>ROUND(SUM(AD48-AD56),1)</f>
        <v>1780.4</v>
      </c>
      <c r="AE59" s="570"/>
      <c r="AF59" s="571"/>
      <c r="AG59" s="566">
        <f>ROUND(SUM(+AG48-AG56),1)</f>
        <v>1716.5</v>
      </c>
      <c r="AH59" s="549"/>
      <c r="AI59" s="1658">
        <f>ROUND(IF(AD59=0,0,AG59/ABS(AD59)),3)</f>
        <v>0.96399999999999997</v>
      </c>
      <c r="AJ59" s="917"/>
    </row>
    <row r="60" spans="1:36" ht="19.5" customHeight="1">
      <c r="A60" s="529"/>
      <c r="B60" s="3716"/>
      <c r="C60" s="2509"/>
      <c r="D60" s="2509"/>
      <c r="E60" s="2509"/>
      <c r="F60" s="2509"/>
      <c r="G60" s="2509"/>
      <c r="H60" s="2509"/>
      <c r="I60" s="557"/>
      <c r="J60" s="557"/>
      <c r="K60" s="557"/>
      <c r="L60" s="557"/>
      <c r="M60" s="557"/>
      <c r="N60" s="557"/>
      <c r="O60" s="557"/>
      <c r="P60" s="557"/>
      <c r="Q60" s="557"/>
      <c r="R60" s="557"/>
      <c r="S60" s="557"/>
      <c r="T60" s="557"/>
      <c r="U60" s="557"/>
      <c r="V60" s="557"/>
      <c r="W60" s="557"/>
      <c r="X60" s="557"/>
      <c r="Y60" s="559"/>
      <c r="Z60" s="557"/>
      <c r="AA60" s="2510"/>
      <c r="AB60" s="559"/>
      <c r="AC60" s="557"/>
      <c r="AD60" s="2510"/>
      <c r="AE60" s="560"/>
      <c r="AF60" s="561"/>
      <c r="AG60" s="562"/>
      <c r="AH60" s="540"/>
      <c r="AI60" s="541"/>
    </row>
    <row r="61" spans="1:36" ht="19.5" customHeight="1">
      <c r="A61" s="529"/>
      <c r="B61" s="3314"/>
      <c r="C61" s="2509"/>
      <c r="D61" s="2509"/>
      <c r="E61" s="2509"/>
      <c r="F61" s="2509"/>
      <c r="G61" s="2509"/>
      <c r="H61" s="2509"/>
      <c r="I61" s="557"/>
      <c r="J61" s="557"/>
      <c r="K61" s="557"/>
      <c r="L61" s="557"/>
      <c r="M61" s="557"/>
      <c r="N61" s="557"/>
      <c r="O61" s="557"/>
      <c r="P61" s="557"/>
      <c r="Q61" s="557"/>
      <c r="R61" s="557"/>
      <c r="S61" s="557"/>
      <c r="T61" s="557"/>
      <c r="U61" s="557"/>
      <c r="V61" s="557"/>
      <c r="W61" s="557"/>
      <c r="X61" s="557"/>
      <c r="Y61" s="559"/>
      <c r="Z61" s="557"/>
      <c r="AA61" s="2509"/>
      <c r="AB61" s="559"/>
      <c r="AC61" s="557"/>
      <c r="AD61" s="2509"/>
      <c r="AE61" s="560"/>
      <c r="AF61" s="561"/>
      <c r="AG61" s="562"/>
      <c r="AH61" s="540"/>
      <c r="AI61" s="541"/>
    </row>
    <row r="62" spans="1:36" ht="14.25" customHeight="1">
      <c r="A62" s="573" t="s">
        <v>46</v>
      </c>
      <c r="B62" s="3314"/>
      <c r="C62" s="2509"/>
      <c r="D62" s="2509"/>
      <c r="E62" s="2509"/>
      <c r="F62" s="2509"/>
      <c r="G62" s="2509"/>
      <c r="H62" s="2509"/>
      <c r="I62" s="557"/>
      <c r="J62" s="557"/>
      <c r="K62" s="557"/>
      <c r="L62" s="557"/>
      <c r="M62" s="557"/>
      <c r="N62" s="557"/>
      <c r="O62" s="557"/>
      <c r="P62" s="557"/>
      <c r="Q62" s="557"/>
      <c r="R62" s="557"/>
      <c r="S62" s="557"/>
      <c r="T62" s="557"/>
      <c r="U62" s="557"/>
      <c r="V62" s="557"/>
      <c r="W62" s="557"/>
      <c r="X62" s="557"/>
      <c r="Y62" s="559"/>
      <c r="Z62" s="557"/>
      <c r="AA62" s="2509"/>
      <c r="AB62" s="559"/>
      <c r="AC62" s="557"/>
      <c r="AD62" s="2509"/>
      <c r="AE62" s="560"/>
      <c r="AF62" s="561"/>
      <c r="AG62" s="562"/>
      <c r="AH62" s="540"/>
      <c r="AI62" s="541"/>
    </row>
    <row r="63" spans="1:36" ht="14.25" customHeight="1">
      <c r="A63" s="574" t="s">
        <v>184</v>
      </c>
      <c r="B63" s="2228">
        <f>$AA63</f>
        <v>226.4</v>
      </c>
      <c r="C63" s="2509"/>
      <c r="D63" s="2513"/>
      <c r="E63" s="2509"/>
      <c r="F63" s="2228"/>
      <c r="G63" s="2509"/>
      <c r="H63" s="2513"/>
      <c r="I63" s="557"/>
      <c r="J63" s="2743"/>
      <c r="K63" s="557"/>
      <c r="L63" s="2743"/>
      <c r="M63" s="557"/>
      <c r="N63" s="2914"/>
      <c r="O63" s="557"/>
      <c r="P63" s="2914"/>
      <c r="Q63" s="557"/>
      <c r="R63" s="2914"/>
      <c r="S63" s="557"/>
      <c r="T63" s="2914"/>
      <c r="U63" s="557"/>
      <c r="V63" s="2914"/>
      <c r="W63" s="557"/>
      <c r="X63" s="2914"/>
      <c r="Y63" s="559"/>
      <c r="Z63" s="557"/>
      <c r="AA63" s="2511">
        <v>226.4</v>
      </c>
      <c r="AB63" s="559"/>
      <c r="AC63" s="557"/>
      <c r="AD63" s="2511">
        <v>389.7</v>
      </c>
      <c r="AE63" s="560"/>
      <c r="AF63" s="561"/>
      <c r="AG63" s="562">
        <f>ROUND(SUM(AA63-AD63),1)</f>
        <v>-163.30000000000001</v>
      </c>
      <c r="AH63" s="540"/>
      <c r="AI63" s="45">
        <f>ROUND(IF(AD63=0,0,AG63/ABS(AD63)),3)</f>
        <v>-0.41899999999999998</v>
      </c>
    </row>
    <row r="64" spans="1:36" ht="14.25" customHeight="1">
      <c r="A64" s="574" t="s">
        <v>194</v>
      </c>
      <c r="B64" s="2228">
        <f>$AA64</f>
        <v>-3529.7</v>
      </c>
      <c r="C64" s="2509"/>
      <c r="D64" s="2513"/>
      <c r="E64" s="2509"/>
      <c r="F64" s="2228"/>
      <c r="G64" s="2509"/>
      <c r="H64" s="3504"/>
      <c r="I64" s="557"/>
      <c r="J64" s="2743"/>
      <c r="K64" s="557"/>
      <c r="L64" s="3218"/>
      <c r="M64" s="557"/>
      <c r="N64" s="2914"/>
      <c r="O64" s="557"/>
      <c r="P64" s="2914"/>
      <c r="Q64" s="557"/>
      <c r="R64" s="2914"/>
      <c r="S64" s="557"/>
      <c r="T64" s="2914"/>
      <c r="U64" s="557"/>
      <c r="V64" s="2914"/>
      <c r="W64" s="557"/>
      <c r="X64" s="2914"/>
      <c r="Y64" s="559"/>
      <c r="Z64" s="557"/>
      <c r="AA64" s="2747">
        <v>-3529.7</v>
      </c>
      <c r="AB64" s="559"/>
      <c r="AC64" s="557"/>
      <c r="AD64" s="2747">
        <v>-1887.8</v>
      </c>
      <c r="AE64" s="560"/>
      <c r="AF64" s="561"/>
      <c r="AG64" s="575">
        <f>ROUND(SUM(-(AA64-AD64)),1)</f>
        <v>1641.9</v>
      </c>
      <c r="AH64" s="540"/>
      <c r="AI64" s="1554">
        <f>ROUND(IF(AD64=0,0,AG64/ABS(AD64)),3)</f>
        <v>0.87</v>
      </c>
    </row>
    <row r="65" spans="1:38" ht="15">
      <c r="A65" s="529"/>
      <c r="B65" s="3717"/>
      <c r="C65" s="557"/>
      <c r="D65" s="3453"/>
      <c r="E65" s="557"/>
      <c r="F65" s="3453"/>
      <c r="G65" s="557"/>
      <c r="H65" s="576"/>
      <c r="I65" s="557"/>
      <c r="J65" s="3453"/>
      <c r="K65" s="557"/>
      <c r="L65" s="576"/>
      <c r="M65" s="557"/>
      <c r="N65" s="3453"/>
      <c r="O65" s="557"/>
      <c r="P65" s="3453"/>
      <c r="Q65" s="557"/>
      <c r="R65" s="3453"/>
      <c r="S65" s="557"/>
      <c r="T65" s="3453"/>
      <c r="U65" s="557"/>
      <c r="V65" s="3453"/>
      <c r="W65" s="557"/>
      <c r="X65" s="3453"/>
      <c r="Y65" s="559"/>
      <c r="Z65" s="557"/>
      <c r="AA65" s="2509"/>
      <c r="AB65" s="559"/>
      <c r="AC65" s="557"/>
      <c r="AD65" s="2509"/>
      <c r="AE65" s="560"/>
      <c r="AF65" s="561"/>
      <c r="AG65" s="562"/>
      <c r="AH65" s="540"/>
      <c r="AI65" s="541"/>
    </row>
    <row r="66" spans="1:38" ht="14.25" customHeight="1">
      <c r="A66" s="573" t="s">
        <v>1046</v>
      </c>
      <c r="B66" s="3298">
        <f>ROUND(SUM(B63:B64),1)</f>
        <v>-3303.3</v>
      </c>
      <c r="C66" s="567"/>
      <c r="D66" s="577">
        <f>ROUND(SUM(D63:D64),1)</f>
        <v>0</v>
      </c>
      <c r="E66" s="568"/>
      <c r="F66" s="577">
        <f>ROUND(SUM(F63:F64),1)</f>
        <v>0</v>
      </c>
      <c r="G66" s="568"/>
      <c r="H66" s="577">
        <f>ROUND(SUM(H63:H64),1)</f>
        <v>0</v>
      </c>
      <c r="I66" s="568"/>
      <c r="J66" s="577">
        <f>ROUND(SUM(J63:J64),1)</f>
        <v>0</v>
      </c>
      <c r="K66" s="568"/>
      <c r="L66" s="577">
        <f>ROUND(SUM(L63:L64),1)</f>
        <v>0</v>
      </c>
      <c r="M66" s="568"/>
      <c r="N66" s="577">
        <f>ROUND(SUM(N63:N64),1)</f>
        <v>0</v>
      </c>
      <c r="O66" s="568"/>
      <c r="P66" s="577">
        <f>ROUND(SUM(P63:P64),1)</f>
        <v>0</v>
      </c>
      <c r="Q66" s="568"/>
      <c r="R66" s="577">
        <f>ROUND(SUM(R63:R64),1)</f>
        <v>0</v>
      </c>
      <c r="S66" s="568"/>
      <c r="T66" s="577">
        <f>ROUND(SUM(T63:T64),1)</f>
        <v>0</v>
      </c>
      <c r="U66" s="568"/>
      <c r="V66" s="577">
        <f>ROUND(SUM(V63:V64),1)</f>
        <v>0</v>
      </c>
      <c r="W66" s="568"/>
      <c r="X66" s="577">
        <f>ROUND(SUM(X63:X64),1)</f>
        <v>0</v>
      </c>
      <c r="Y66" s="569"/>
      <c r="Z66" s="567"/>
      <c r="AA66" s="577">
        <f>ROUND(SUM(AA63:AA64),1)</f>
        <v>-3303.3</v>
      </c>
      <c r="AB66" s="569"/>
      <c r="AC66" s="567"/>
      <c r="AD66" s="577">
        <f>ROUND(SUM(AD63:AD64),1)</f>
        <v>-1498.1</v>
      </c>
      <c r="AE66" s="570"/>
      <c r="AF66" s="571"/>
      <c r="AG66" s="577">
        <f>ROUND(SUM(AG63-AG64),1)</f>
        <v>-1805.2</v>
      </c>
      <c r="AH66" s="549"/>
      <c r="AI66" s="1658">
        <f>ROUND(IF(AD66=0,0,AG66/ABS(AD66)),3)</f>
        <v>-1.2050000000000001</v>
      </c>
      <c r="AJ66" s="917"/>
    </row>
    <row r="67" spans="1:38" ht="19.5" customHeight="1">
      <c r="A67" s="529"/>
      <c r="B67" s="3293"/>
      <c r="C67" s="557"/>
      <c r="D67" s="576"/>
      <c r="E67" s="557"/>
      <c r="F67" s="576"/>
      <c r="G67" s="557"/>
      <c r="H67" s="576"/>
      <c r="I67" s="557"/>
      <c r="J67" s="576"/>
      <c r="K67" s="557"/>
      <c r="L67" s="576"/>
      <c r="M67" s="557"/>
      <c r="N67" s="576"/>
      <c r="O67" s="557"/>
      <c r="P67" s="576"/>
      <c r="Q67" s="557"/>
      <c r="R67" s="576"/>
      <c r="S67" s="557"/>
      <c r="T67" s="576"/>
      <c r="U67" s="557"/>
      <c r="V67" s="576"/>
      <c r="W67" s="557"/>
      <c r="X67" s="576"/>
      <c r="Y67" s="559"/>
      <c r="Z67" s="557"/>
      <c r="AA67" s="2509"/>
      <c r="AB67" s="559"/>
      <c r="AC67" s="557"/>
      <c r="AD67" s="2509"/>
      <c r="AE67" s="560"/>
      <c r="AF67" s="561"/>
      <c r="AG67" s="562"/>
      <c r="AH67" s="540"/>
      <c r="AI67" s="541"/>
    </row>
    <row r="68" spans="1:38" ht="19.5" customHeight="1">
      <c r="A68" s="529"/>
      <c r="B68" s="3293"/>
      <c r="C68" s="557"/>
      <c r="D68" s="576"/>
      <c r="E68" s="557"/>
      <c r="F68" s="576"/>
      <c r="G68" s="557"/>
      <c r="H68" s="576"/>
      <c r="I68" s="557"/>
      <c r="J68" s="576"/>
      <c r="K68" s="557"/>
      <c r="L68" s="576"/>
      <c r="M68" s="557"/>
      <c r="N68" s="576"/>
      <c r="O68" s="557"/>
      <c r="P68" s="576"/>
      <c r="Q68" s="557"/>
      <c r="R68" s="576"/>
      <c r="S68" s="557"/>
      <c r="T68" s="576"/>
      <c r="U68" s="557"/>
      <c r="V68" s="576"/>
      <c r="W68" s="557"/>
      <c r="X68" s="576"/>
      <c r="Y68" s="559"/>
      <c r="Z68" s="557"/>
      <c r="AA68" s="2509"/>
      <c r="AB68" s="559"/>
      <c r="AC68" s="557"/>
      <c r="AD68" s="2509"/>
      <c r="AE68" s="560"/>
      <c r="AF68" s="561"/>
      <c r="AG68" s="562"/>
      <c r="AH68" s="540"/>
      <c r="AI68" s="541"/>
    </row>
    <row r="69" spans="1:38" ht="14.25" customHeight="1">
      <c r="A69" s="555" t="s">
        <v>195</v>
      </c>
      <c r="B69" s="3293"/>
      <c r="C69" s="557"/>
      <c r="D69" s="558"/>
      <c r="E69" s="557"/>
      <c r="F69" s="558"/>
      <c r="G69" s="557"/>
      <c r="H69" s="558"/>
      <c r="I69" s="557"/>
      <c r="J69" s="558"/>
      <c r="K69" s="557"/>
      <c r="L69" s="558"/>
      <c r="M69" s="557"/>
      <c r="N69" s="558"/>
      <c r="O69" s="557"/>
      <c r="P69" s="558"/>
      <c r="Q69" s="557"/>
      <c r="R69" s="558"/>
      <c r="S69" s="557"/>
      <c r="T69" s="558"/>
      <c r="U69" s="557"/>
      <c r="V69" s="558"/>
      <c r="W69" s="557"/>
      <c r="X69" s="558"/>
      <c r="Y69" s="559"/>
      <c r="Z69" s="557"/>
      <c r="AA69" s="2509"/>
      <c r="AB69" s="559"/>
      <c r="AC69" s="557"/>
      <c r="AD69" s="2509"/>
      <c r="AE69" s="560"/>
      <c r="AF69" s="561"/>
      <c r="AG69" s="562"/>
      <c r="AH69" s="540"/>
      <c r="AI69" s="541"/>
    </row>
    <row r="70" spans="1:38" ht="14.25" customHeight="1">
      <c r="A70" s="555" t="s">
        <v>196</v>
      </c>
      <c r="B70" s="3293"/>
      <c r="C70" s="557"/>
      <c r="D70" s="558"/>
      <c r="E70" s="557"/>
      <c r="F70" s="558"/>
      <c r="G70" s="557"/>
      <c r="H70" s="558"/>
      <c r="I70" s="557"/>
      <c r="J70" s="558"/>
      <c r="K70" s="557"/>
      <c r="L70" s="558"/>
      <c r="M70" s="557"/>
      <c r="N70" s="558"/>
      <c r="O70" s="557"/>
      <c r="P70" s="558"/>
      <c r="Q70" s="557"/>
      <c r="R70" s="558"/>
      <c r="S70" s="557"/>
      <c r="T70" s="558"/>
      <c r="U70" s="557"/>
      <c r="V70" s="558"/>
      <c r="W70" s="557"/>
      <c r="X70" s="558"/>
      <c r="Y70" s="559"/>
      <c r="Z70" s="557"/>
      <c r="AA70" s="2509"/>
      <c r="AB70" s="559"/>
      <c r="AC70" s="557"/>
      <c r="AD70" s="2509"/>
      <c r="AE70" s="560"/>
      <c r="AF70" s="561"/>
      <c r="AG70" s="562"/>
      <c r="AH70" s="540"/>
      <c r="AI70" s="541"/>
    </row>
    <row r="71" spans="1:38" ht="14.25" customHeight="1">
      <c r="A71" s="555" t="s">
        <v>1357</v>
      </c>
      <c r="B71" s="3718">
        <f>ROUND(SUM(+B59+B66),1)</f>
        <v>193.6</v>
      </c>
      <c r="C71" s="567"/>
      <c r="D71" s="566">
        <f>ROUND(SUM(+D59+D66),1)</f>
        <v>0</v>
      </c>
      <c r="E71" s="567"/>
      <c r="F71" s="566">
        <f>ROUND(SUM(+F59+F66),1)</f>
        <v>0</v>
      </c>
      <c r="G71" s="567"/>
      <c r="H71" s="566">
        <f>ROUND(SUM(+H59+H66),1)</f>
        <v>0</v>
      </c>
      <c r="I71" s="567"/>
      <c r="J71" s="566">
        <f>ROUND(SUM(+J59+J66),1)</f>
        <v>0</v>
      </c>
      <c r="K71" s="567"/>
      <c r="L71" s="566">
        <f>ROUND(SUM(+L59+L66),1)</f>
        <v>0</v>
      </c>
      <c r="M71" s="567"/>
      <c r="N71" s="566">
        <f>ROUND(SUM(+N59+N66),1)</f>
        <v>0</v>
      </c>
      <c r="O71" s="567"/>
      <c r="P71" s="566">
        <f>ROUND(SUM(+P59+P66),1)</f>
        <v>0</v>
      </c>
      <c r="Q71" s="567"/>
      <c r="R71" s="566">
        <f>ROUND(SUM(+R59+R66),1)</f>
        <v>0</v>
      </c>
      <c r="S71" s="567"/>
      <c r="T71" s="566">
        <f>ROUND(SUM(+T59+T66),1)</f>
        <v>0</v>
      </c>
      <c r="U71" s="567"/>
      <c r="V71" s="566">
        <f>ROUND(SUM(+V59+V66),1)</f>
        <v>0</v>
      </c>
      <c r="W71" s="567"/>
      <c r="X71" s="566">
        <f>ROUND(SUM(+X59+X66),1)</f>
        <v>0</v>
      </c>
      <c r="Y71" s="569"/>
      <c r="Z71" s="567"/>
      <c r="AA71" s="566">
        <f>ROUND(SUM(+AA59+AA66),1)</f>
        <v>193.6</v>
      </c>
      <c r="AB71" s="569"/>
      <c r="AC71" s="567"/>
      <c r="AD71" s="566">
        <f>ROUND(SUM(+AD59+AD66),1)</f>
        <v>282.3</v>
      </c>
      <c r="AE71" s="570"/>
      <c r="AF71" s="571"/>
      <c r="AG71" s="566">
        <f>ROUND(SUM(+AG59+AG66),1)</f>
        <v>-88.7</v>
      </c>
      <c r="AH71" s="549"/>
      <c r="AI71" s="2353">
        <f>ROUND(IF(AD71=0,0,AG71/ABS(AD71)),3)</f>
        <v>-0.314</v>
      </c>
      <c r="AJ71" s="917"/>
    </row>
    <row r="72" spans="1:38" ht="15">
      <c r="A72" s="529"/>
      <c r="B72" s="3295"/>
      <c r="C72" s="530"/>
      <c r="D72" s="578"/>
      <c r="E72" s="530"/>
      <c r="F72" s="579"/>
      <c r="G72" s="530"/>
      <c r="H72" s="579"/>
      <c r="I72" s="530"/>
      <c r="J72" s="579"/>
      <c r="K72" s="530"/>
      <c r="L72" s="580"/>
      <c r="M72" s="530"/>
      <c r="N72" s="579"/>
      <c r="O72" s="530"/>
      <c r="P72" s="579"/>
      <c r="Q72" s="530"/>
      <c r="R72" s="579"/>
      <c r="S72" s="530"/>
      <c r="T72" s="579"/>
      <c r="U72" s="530"/>
      <c r="V72" s="579"/>
      <c r="W72" s="530"/>
      <c r="X72" s="579"/>
      <c r="Y72" s="552"/>
      <c r="Z72" s="530"/>
      <c r="AA72" s="530" t="s">
        <v>15</v>
      </c>
      <c r="AB72" s="552"/>
      <c r="AC72" s="530"/>
      <c r="AD72" s="2508"/>
      <c r="AE72" s="536"/>
      <c r="AF72" s="553"/>
      <c r="AG72" s="554"/>
      <c r="AH72" s="540"/>
      <c r="AI72" s="541"/>
    </row>
    <row r="73" spans="1:38" ht="15">
      <c r="A73" s="529"/>
      <c r="B73" s="2346"/>
      <c r="C73" s="529"/>
      <c r="D73" s="533"/>
      <c r="E73" s="529"/>
      <c r="F73" s="554"/>
      <c r="G73" s="529"/>
      <c r="H73" s="532"/>
      <c r="I73" s="529"/>
      <c r="J73" s="532"/>
      <c r="K73" s="529"/>
      <c r="L73" s="581"/>
      <c r="M73" s="529"/>
      <c r="N73" s="532"/>
      <c r="O73" s="529"/>
      <c r="P73" s="532"/>
      <c r="Q73" s="529"/>
      <c r="R73" s="532"/>
      <c r="S73" s="529"/>
      <c r="T73" s="554"/>
      <c r="U73" s="530"/>
      <c r="V73" s="554"/>
      <c r="W73" s="530"/>
      <c r="X73" s="554"/>
      <c r="Y73" s="551"/>
      <c r="Z73" s="529"/>
      <c r="AA73" s="530"/>
      <c r="AB73" s="552"/>
      <c r="AC73" s="530"/>
      <c r="AD73" s="2507"/>
      <c r="AE73" s="534"/>
      <c r="AF73" s="553"/>
      <c r="AG73" s="554"/>
      <c r="AH73" s="540"/>
      <c r="AI73" s="541"/>
    </row>
    <row r="74" spans="1:38" ht="19.5" customHeight="1" thickBot="1">
      <c r="A74" s="555" t="s">
        <v>143</v>
      </c>
      <c r="B74" s="3719">
        <f>ROUND(SUM(B12+B71),1)</f>
        <v>346.7</v>
      </c>
      <c r="C74" s="543"/>
      <c r="D74" s="582">
        <f>ROUND(SUM(D12+D71),1)</f>
        <v>0</v>
      </c>
      <c r="E74" s="543"/>
      <c r="F74" s="582">
        <f>ROUND(SUM(F12+F71),1)</f>
        <v>0</v>
      </c>
      <c r="G74" s="543"/>
      <c r="H74" s="582">
        <f>ROUND(SUM(H12+H71),1)</f>
        <v>0</v>
      </c>
      <c r="I74" s="543"/>
      <c r="J74" s="582">
        <f>ROUND(SUM(J12+J71),1)</f>
        <v>0</v>
      </c>
      <c r="K74" s="543"/>
      <c r="L74" s="582">
        <f>ROUND(SUM(L12+L71),1)</f>
        <v>0</v>
      </c>
      <c r="M74" s="543"/>
      <c r="N74" s="582">
        <f>ROUND(SUM(N12+N71),1)</f>
        <v>0</v>
      </c>
      <c r="O74" s="543"/>
      <c r="P74" s="582">
        <f>ROUND(SUM(P12+P71),1)</f>
        <v>0</v>
      </c>
      <c r="Q74" s="543"/>
      <c r="R74" s="582">
        <f>ROUND(SUM(R12+R71),1)</f>
        <v>0</v>
      </c>
      <c r="S74" s="543"/>
      <c r="T74" s="582">
        <f>ROUND(SUM(T12+T71),1)</f>
        <v>0</v>
      </c>
      <c r="U74" s="543"/>
      <c r="V74" s="582">
        <f>ROUND(SUM(V12+V71),1)</f>
        <v>0</v>
      </c>
      <c r="W74" s="543"/>
      <c r="X74" s="582">
        <f>ROUND(SUM(X12+X71),1)</f>
        <v>0</v>
      </c>
      <c r="Y74" s="545"/>
      <c r="Z74" s="543"/>
      <c r="AA74" s="582">
        <f>ROUND(SUM(AA12+AA71),1)</f>
        <v>346.7</v>
      </c>
      <c r="AB74" s="545"/>
      <c r="AC74" s="543"/>
      <c r="AD74" s="582">
        <f>ROUND(SUM(AD12+AD71),1)</f>
        <v>426.7</v>
      </c>
      <c r="AE74" s="583"/>
      <c r="AF74" s="547"/>
      <c r="AG74" s="582">
        <f>ROUND(SUM(+AG12+AG71),1)</f>
        <v>-80</v>
      </c>
      <c r="AH74" s="549"/>
      <c r="AI74" s="122">
        <f>ROUND(IF(AD74=0,0,AG74/ABS(AD74)),3)</f>
        <v>-0.187</v>
      </c>
      <c r="AJ74" s="919"/>
      <c r="AK74" s="572"/>
      <c r="AL74" s="572"/>
    </row>
    <row r="75" spans="1:38" ht="14.25" customHeight="1" thickTop="1">
      <c r="A75" s="584"/>
      <c r="B75" s="585"/>
      <c r="C75" s="586"/>
      <c r="D75" s="585"/>
      <c r="E75" s="523"/>
      <c r="F75" s="585"/>
      <c r="G75" s="523"/>
      <c r="H75" s="587"/>
      <c r="I75" s="523"/>
      <c r="J75" s="587"/>
      <c r="K75" s="523"/>
      <c r="L75" s="587"/>
      <c r="M75" s="523"/>
      <c r="N75" s="587"/>
      <c r="O75" s="523"/>
      <c r="P75" s="587"/>
      <c r="Q75" s="523"/>
      <c r="R75" s="587"/>
      <c r="S75" s="523"/>
      <c r="T75" s="587"/>
      <c r="U75" s="524"/>
      <c r="V75" s="587"/>
      <c r="W75" s="524"/>
      <c r="X75" s="587"/>
      <c r="Y75" s="585"/>
      <c r="Z75" s="586"/>
      <c r="AA75" s="585"/>
      <c r="AB75" s="585"/>
      <c r="AC75" s="586"/>
      <c r="AD75" s="585"/>
      <c r="AE75" s="588"/>
      <c r="AF75" s="585"/>
      <c r="AG75" s="585"/>
      <c r="AH75" s="589"/>
      <c r="AI75" s="590"/>
    </row>
    <row r="76" spans="1:38">
      <c r="L76" s="524"/>
      <c r="T76" s="591"/>
      <c r="U76" s="591"/>
      <c r="V76" s="591"/>
      <c r="W76" s="591"/>
      <c r="X76" s="591"/>
      <c r="AD76" s="2199"/>
    </row>
    <row r="77" spans="1:38" ht="12" customHeight="1">
      <c r="A77" s="541"/>
      <c r="L77" s="524"/>
      <c r="R77" s="592"/>
      <c r="T77" s="586"/>
      <c r="V77" s="586"/>
      <c r="X77" s="586"/>
    </row>
    <row r="78" spans="1:38">
      <c r="B78" s="2199"/>
      <c r="L78" s="524"/>
      <c r="R78" s="592"/>
      <c r="T78" s="586"/>
      <c r="V78" s="586"/>
      <c r="X78" s="586"/>
    </row>
    <row r="79" spans="1:38">
      <c r="A79" s="556"/>
      <c r="L79" s="524"/>
    </row>
    <row r="80" spans="1:38">
      <c r="A80" s="2678"/>
      <c r="B80" s="2199"/>
      <c r="L80" s="524"/>
      <c r="R80" s="593"/>
    </row>
    <row r="81" spans="1:35">
      <c r="A81" s="594"/>
      <c r="B81" s="2199"/>
      <c r="L81" s="524"/>
    </row>
    <row r="82" spans="1:35">
      <c r="A82" s="595"/>
      <c r="L82" s="524"/>
      <c r="AI82" s="586"/>
    </row>
    <row r="83" spans="1:35">
      <c r="L83" s="524"/>
    </row>
    <row r="84" spans="1:35">
      <c r="L84" s="524"/>
    </row>
    <row r="85" spans="1:35">
      <c r="L85" s="524"/>
    </row>
    <row r="86" spans="1:35">
      <c r="L86" s="524"/>
    </row>
    <row r="87" spans="1:35">
      <c r="L87" s="524"/>
    </row>
    <row r="88" spans="1:35">
      <c r="L88" s="524"/>
    </row>
    <row r="89" spans="1:35">
      <c r="L89" s="524"/>
    </row>
    <row r="90" spans="1:35">
      <c r="L90" s="524"/>
    </row>
    <row r="91" spans="1:35">
      <c r="L91" s="524"/>
    </row>
    <row r="92" spans="1:35">
      <c r="L92" s="524"/>
    </row>
    <row r="93" spans="1:35">
      <c r="L93" s="524"/>
    </row>
    <row r="94" spans="1:35">
      <c r="L94" s="524"/>
    </row>
    <row r="95" spans="1:35">
      <c r="L95" s="524"/>
    </row>
    <row r="96" spans="1:35">
      <c r="L96" s="524"/>
    </row>
    <row r="97" spans="12:12">
      <c r="L97" s="524"/>
    </row>
    <row r="98" spans="12:12">
      <c r="L98" s="524"/>
    </row>
    <row r="99" spans="12:12">
      <c r="L99" s="524"/>
    </row>
    <row r="100" spans="12:12">
      <c r="L100" s="524"/>
    </row>
    <row r="101" spans="12:12">
      <c r="L101" s="524"/>
    </row>
    <row r="102" spans="12:12">
      <c r="L102" s="524"/>
    </row>
    <row r="103" spans="12:12">
      <c r="L103" s="524"/>
    </row>
    <row r="104" spans="12:12">
      <c r="L104" s="524"/>
    </row>
    <row r="105" spans="12:12">
      <c r="L105" s="524"/>
    </row>
    <row r="106" spans="12:12">
      <c r="L106" s="524"/>
    </row>
    <row r="107" spans="12:12">
      <c r="L107" s="524"/>
    </row>
    <row r="108" spans="12:12">
      <c r="L108" s="524"/>
    </row>
    <row r="109" spans="12:12">
      <c r="L109" s="524"/>
    </row>
    <row r="110" spans="12:12">
      <c r="L110" s="524"/>
    </row>
    <row r="111" spans="12:12">
      <c r="L111" s="524"/>
    </row>
    <row r="112" spans="12:12">
      <c r="L112" s="524"/>
    </row>
    <row r="113" spans="12:12">
      <c r="L113" s="524"/>
    </row>
    <row r="114" spans="12:12">
      <c r="L114" s="524"/>
    </row>
    <row r="115" spans="12:12">
      <c r="L115" s="524"/>
    </row>
    <row r="116" spans="12:12">
      <c r="L116" s="524"/>
    </row>
    <row r="117" spans="12:12">
      <c r="L117" s="524"/>
    </row>
    <row r="118" spans="12:12">
      <c r="L118" s="524"/>
    </row>
    <row r="119" spans="12:12">
      <c r="L119" s="524"/>
    </row>
    <row r="120" spans="12:12">
      <c r="L120" s="524"/>
    </row>
    <row r="121" spans="12:12">
      <c r="L121" s="524"/>
    </row>
    <row r="122" spans="12:12">
      <c r="L122" s="524"/>
    </row>
    <row r="123" spans="12:12">
      <c r="L123" s="524"/>
    </row>
    <row r="124" spans="12:12">
      <c r="L124" s="524"/>
    </row>
    <row r="125" spans="12:12">
      <c r="L125" s="524"/>
    </row>
    <row r="126" spans="12:12">
      <c r="L126" s="524"/>
    </row>
    <row r="127" spans="12:12">
      <c r="L127" s="524"/>
    </row>
    <row r="128" spans="12:12">
      <c r="L128" s="524"/>
    </row>
    <row r="129" spans="12:12">
      <c r="L129" s="524"/>
    </row>
    <row r="130" spans="12:12">
      <c r="L130" s="524"/>
    </row>
    <row r="131" spans="12:12">
      <c r="L131" s="524"/>
    </row>
    <row r="132" spans="12:12">
      <c r="L132" s="524"/>
    </row>
    <row r="133" spans="12:12">
      <c r="L133" s="524"/>
    </row>
    <row r="134" spans="12:12">
      <c r="L134" s="524"/>
    </row>
    <row r="135" spans="12:12">
      <c r="L135" s="524"/>
    </row>
    <row r="136" spans="12:12">
      <c r="L136" s="524"/>
    </row>
    <row r="137" spans="12:12">
      <c r="L137" s="524"/>
    </row>
    <row r="138" spans="12:12">
      <c r="L138" s="524"/>
    </row>
    <row r="139" spans="12:12">
      <c r="L139" s="524"/>
    </row>
    <row r="140" spans="12:12">
      <c r="L140" s="524"/>
    </row>
    <row r="141" spans="12:12">
      <c r="L141" s="524"/>
    </row>
    <row r="142" spans="12:12">
      <c r="L142" s="524"/>
    </row>
    <row r="143" spans="12:12">
      <c r="L143" s="524"/>
    </row>
    <row r="144" spans="12:12">
      <c r="L144" s="524"/>
    </row>
    <row r="145" spans="12:12">
      <c r="L145" s="524"/>
    </row>
    <row r="146" spans="12:12">
      <c r="L146" s="524"/>
    </row>
    <row r="147" spans="12:12">
      <c r="L147" s="524"/>
    </row>
    <row r="148" spans="12:12">
      <c r="L148" s="524"/>
    </row>
    <row r="149" spans="12:12">
      <c r="L149" s="524"/>
    </row>
    <row r="150" spans="12:12">
      <c r="L150" s="524"/>
    </row>
    <row r="151" spans="12:12">
      <c r="L151" s="524"/>
    </row>
    <row r="152" spans="12:12">
      <c r="L152" s="524"/>
    </row>
    <row r="153" spans="12:12">
      <c r="L153" s="524"/>
    </row>
    <row r="154" spans="12:12">
      <c r="L154" s="524"/>
    </row>
    <row r="155" spans="12:12">
      <c r="L155" s="524"/>
    </row>
    <row r="156" spans="12:12">
      <c r="L156" s="524"/>
    </row>
    <row r="157" spans="12:12">
      <c r="L157" s="524"/>
    </row>
    <row r="158" spans="12:12">
      <c r="L158" s="524"/>
    </row>
    <row r="159" spans="12:12">
      <c r="L159" s="524"/>
    </row>
    <row r="160" spans="12:12">
      <c r="L160" s="524"/>
    </row>
    <row r="161" spans="12:12">
      <c r="L161" s="524"/>
    </row>
    <row r="162" spans="12:12">
      <c r="L162" s="524"/>
    </row>
    <row r="163" spans="12:12">
      <c r="L163" s="524"/>
    </row>
    <row r="164" spans="12:12">
      <c r="L164" s="524"/>
    </row>
    <row r="165" spans="12:12">
      <c r="L165" s="524"/>
    </row>
    <row r="166" spans="12:12">
      <c r="L166" s="524"/>
    </row>
    <row r="167" spans="12:12">
      <c r="L167" s="524"/>
    </row>
    <row r="168" spans="12:12">
      <c r="L168" s="524"/>
    </row>
    <row r="169" spans="12:12">
      <c r="L169" s="524"/>
    </row>
    <row r="170" spans="12:12">
      <c r="L170" s="524"/>
    </row>
    <row r="171" spans="12:12">
      <c r="L171" s="524"/>
    </row>
    <row r="172" spans="12:12">
      <c r="L172" s="524"/>
    </row>
    <row r="173" spans="12:12">
      <c r="L173" s="524"/>
    </row>
    <row r="174" spans="12:12">
      <c r="L174" s="524"/>
    </row>
    <row r="175" spans="12:12">
      <c r="L175" s="524"/>
    </row>
    <row r="176" spans="12:12">
      <c r="L176" s="524"/>
    </row>
    <row r="177" spans="12:12">
      <c r="L177" s="524"/>
    </row>
    <row r="178" spans="12:12">
      <c r="L178" s="524"/>
    </row>
    <row r="179" spans="12:12">
      <c r="L179" s="524"/>
    </row>
    <row r="180" spans="12:12">
      <c r="L180" s="524"/>
    </row>
    <row r="181" spans="12:12">
      <c r="L181" s="524"/>
    </row>
    <row r="182" spans="12:12">
      <c r="L182" s="524"/>
    </row>
    <row r="183" spans="12:12">
      <c r="L183" s="524"/>
    </row>
    <row r="184" spans="12:12">
      <c r="L184" s="524"/>
    </row>
    <row r="185" spans="12:12">
      <c r="L185" s="524"/>
    </row>
    <row r="186" spans="12:12">
      <c r="L186" s="524"/>
    </row>
    <row r="187" spans="12:12">
      <c r="L187" s="524"/>
    </row>
    <row r="188" spans="12:12">
      <c r="L188" s="524"/>
    </row>
    <row r="189" spans="12:12">
      <c r="L189" s="524"/>
    </row>
    <row r="190" spans="12:12">
      <c r="L190" s="524"/>
    </row>
    <row r="191" spans="12:12">
      <c r="L191" s="524"/>
    </row>
    <row r="192" spans="12:12">
      <c r="L192" s="524"/>
    </row>
    <row r="193" spans="12:12">
      <c r="L193" s="524"/>
    </row>
    <row r="194" spans="12:12">
      <c r="L194" s="524"/>
    </row>
    <row r="195" spans="12:12">
      <c r="L195" s="524"/>
    </row>
    <row r="196" spans="12:12">
      <c r="L196" s="524"/>
    </row>
    <row r="197" spans="12:12">
      <c r="L197" s="524"/>
    </row>
    <row r="198" spans="12:12">
      <c r="L198" s="524"/>
    </row>
    <row r="199" spans="12:12">
      <c r="L199" s="524"/>
    </row>
    <row r="200" spans="12:12">
      <c r="L200" s="524"/>
    </row>
    <row r="201" spans="12:12">
      <c r="L201" s="524"/>
    </row>
    <row r="202" spans="12:12">
      <c r="L202" s="524"/>
    </row>
    <row r="203" spans="12:12">
      <c r="L203" s="524"/>
    </row>
    <row r="204" spans="12:12">
      <c r="L204" s="524"/>
    </row>
    <row r="205" spans="12:12">
      <c r="L205" s="524"/>
    </row>
    <row r="206" spans="12:12">
      <c r="L206" s="524"/>
    </row>
    <row r="207" spans="12:12">
      <c r="L207" s="524"/>
    </row>
    <row r="208" spans="12:12">
      <c r="L208" s="524"/>
    </row>
    <row r="209" spans="12:12">
      <c r="L209" s="524"/>
    </row>
    <row r="210" spans="12:12">
      <c r="L210" s="524"/>
    </row>
    <row r="211" spans="12:12">
      <c r="L211" s="524"/>
    </row>
    <row r="212" spans="12:12">
      <c r="L212" s="524"/>
    </row>
    <row r="213" spans="12:12">
      <c r="L213" s="524"/>
    </row>
    <row r="214" spans="12:12">
      <c r="L214" s="524"/>
    </row>
    <row r="215" spans="12:12">
      <c r="L215" s="524"/>
    </row>
    <row r="216" spans="12:12">
      <c r="L216" s="524"/>
    </row>
    <row r="217" spans="12:12">
      <c r="L217" s="524"/>
    </row>
    <row r="218" spans="12:12">
      <c r="L218" s="524"/>
    </row>
    <row r="219" spans="12:12">
      <c r="L219" s="524"/>
    </row>
    <row r="220" spans="12:12">
      <c r="L220" s="524"/>
    </row>
    <row r="221" spans="12:12">
      <c r="L221" s="524"/>
    </row>
    <row r="222" spans="12:12">
      <c r="L222" s="524"/>
    </row>
    <row r="223" spans="12:12">
      <c r="L223" s="524"/>
    </row>
    <row r="224" spans="12:12">
      <c r="L224" s="524"/>
    </row>
    <row r="225" spans="12:12">
      <c r="L225" s="524"/>
    </row>
    <row r="226" spans="12:12">
      <c r="L226" s="524"/>
    </row>
    <row r="227" spans="12:12">
      <c r="L227" s="524"/>
    </row>
    <row r="228" spans="12:12">
      <c r="L228" s="524"/>
    </row>
    <row r="229" spans="12:12">
      <c r="L229" s="524"/>
    </row>
    <row r="230" spans="12:12">
      <c r="L230" s="524"/>
    </row>
    <row r="231" spans="12:12">
      <c r="L231" s="524"/>
    </row>
    <row r="232" spans="12:12">
      <c r="L232" s="524"/>
    </row>
    <row r="233" spans="12:12">
      <c r="L233" s="524"/>
    </row>
    <row r="234" spans="12:12">
      <c r="L234" s="524"/>
    </row>
    <row r="235" spans="12:12">
      <c r="L235" s="524"/>
    </row>
    <row r="236" spans="12:12">
      <c r="L236" s="524"/>
    </row>
    <row r="237" spans="12:12">
      <c r="L237" s="524"/>
    </row>
    <row r="238" spans="12:12">
      <c r="L238" s="524"/>
    </row>
    <row r="239" spans="12:12">
      <c r="L239" s="524"/>
    </row>
    <row r="240" spans="12:12">
      <c r="L240" s="524"/>
    </row>
    <row r="241" spans="12:12">
      <c r="L241" s="524"/>
    </row>
    <row r="242" spans="12:12">
      <c r="L242" s="524"/>
    </row>
    <row r="243" spans="12:12">
      <c r="L243" s="524"/>
    </row>
    <row r="244" spans="12:12">
      <c r="L244" s="524"/>
    </row>
    <row r="245" spans="12:12">
      <c r="L245" s="524"/>
    </row>
    <row r="246" spans="12:12">
      <c r="L246" s="524"/>
    </row>
    <row r="247" spans="12:12">
      <c r="L247" s="524"/>
    </row>
    <row r="248" spans="12:12">
      <c r="L248" s="524"/>
    </row>
    <row r="249" spans="12:12">
      <c r="L249" s="524"/>
    </row>
    <row r="250" spans="12:12">
      <c r="L250" s="524"/>
    </row>
    <row r="251" spans="12:12">
      <c r="L251" s="524"/>
    </row>
    <row r="252" spans="12:12">
      <c r="L252" s="524"/>
    </row>
    <row r="253" spans="12:12">
      <c r="L253" s="524"/>
    </row>
    <row r="254" spans="12:12">
      <c r="L254" s="524"/>
    </row>
    <row r="255" spans="12:12">
      <c r="L255" s="524"/>
    </row>
    <row r="256" spans="12:12">
      <c r="L256" s="524"/>
    </row>
    <row r="257" spans="12:12">
      <c r="L257" s="524"/>
    </row>
    <row r="258" spans="12:12">
      <c r="L258" s="524"/>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5" firstPageNumber="28" orientation="landscape" useFirstPageNumber="1" r:id="rId2"/>
  <headerFooter scaleWithDoc="0" alignWithMargins="0">
    <oddFooter>&amp;C&amp;8&amp;P</oddFooter>
  </headerFooter>
  <rowBreaks count="1" manualBreakCount="1">
    <brk id="83" max="34" man="1"/>
  </rowBreaks>
  <ignoredErrors>
    <ignoredError sqref="AJ37 AI18 AJ38:AJ40 AJ41 AI72:AI74 AI21 AI24 AI49:AI51 AI68:AI70 AI67 AI60:AI62 AI57:AI58 AI55 AI53 AI65 AI52 AI66 AI54 AI56 AI59 AI63:AI64 AI45 AI47 AI48 AI46 AI44" unlockedFormula="1"/>
    <ignoredError sqref="I44 K44" formulaRange="1"/>
    <ignoredError sqref="AI41 AI39 AI40" formula="1" unlockedFormula="1"/>
    <ignoredError sqref="AI37:AI38 AI42"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12"/>
  <sheetViews>
    <sheetView showGridLines="0" zoomScale="70" zoomScaleNormal="40" workbookViewId="0"/>
  </sheetViews>
  <sheetFormatPr defaultColWidth="8.88671875" defaultRowHeight="15"/>
  <cols>
    <col min="1" max="1" width="2.5546875" style="290" customWidth="1"/>
    <col min="2" max="2" width="15.6640625" style="290" customWidth="1"/>
    <col min="3" max="3" width="25.109375" style="290" customWidth="1"/>
    <col min="4" max="4" width="2" style="290" customWidth="1"/>
    <col min="5" max="5" width="12.5546875" style="290" customWidth="1"/>
    <col min="6" max="6" width="1.77734375" style="290" customWidth="1"/>
    <col min="7" max="7" width="10.6640625" style="290" customWidth="1"/>
    <col min="8" max="8" width="1.77734375" style="290" customWidth="1"/>
    <col min="9" max="9" width="10.77734375" style="290" customWidth="1"/>
    <col min="10" max="10" width="1.77734375" style="290" customWidth="1"/>
    <col min="11" max="11" width="10" style="290" customWidth="1"/>
    <col min="12" max="12" width="1.21875" style="290" customWidth="1"/>
    <col min="13" max="13" width="10.5546875" style="290" customWidth="1"/>
    <col min="14" max="14" width="1.77734375" style="290" customWidth="1"/>
    <col min="15" max="15" width="12.44140625" style="290" customWidth="1"/>
    <col min="16" max="16" width="1.77734375" style="290" customWidth="1"/>
    <col min="17" max="17" width="12.21875" style="290" customWidth="1"/>
    <col min="18" max="18" width="1.77734375" style="290" customWidth="1"/>
    <col min="19" max="19" width="12.21875" style="290" customWidth="1"/>
    <col min="20" max="20" width="1.77734375" style="290" customWidth="1"/>
    <col min="21" max="21" width="10.77734375" style="290" customWidth="1"/>
    <col min="22" max="22" width="1.77734375" style="290" customWidth="1"/>
    <col min="23" max="23" width="13.77734375" style="290" customWidth="1"/>
    <col min="24" max="24" width="1.77734375" style="290" customWidth="1"/>
    <col min="25" max="25" width="12.6640625" style="290" customWidth="1"/>
    <col min="26" max="26" width="1.77734375" style="290" customWidth="1"/>
    <col min="27" max="27" width="11.33203125" style="290" customWidth="1"/>
    <col min="28" max="28" width="1.44140625" style="290" customWidth="1"/>
    <col min="29" max="29" width="11.109375" style="290" customWidth="1"/>
    <col min="30" max="31" width="1.77734375" style="290" customWidth="1"/>
    <col min="32" max="32" width="12.6640625" style="290" customWidth="1"/>
    <col min="33" max="34" width="1.109375" style="290" customWidth="1"/>
    <col min="35" max="35" width="12.6640625" style="1828" customWidth="1"/>
    <col min="36" max="37" width="1" style="290" customWidth="1"/>
    <col min="38" max="38" width="13.109375" style="290" bestFit="1" customWidth="1"/>
    <col min="39" max="39" width="1.33203125" style="290" customWidth="1"/>
    <col min="40" max="40" width="12.33203125" style="290" customWidth="1"/>
    <col min="41" max="16384" width="8.88671875" style="290"/>
  </cols>
  <sheetData>
    <row r="1" spans="1:42">
      <c r="B1" s="1052" t="s">
        <v>1064</v>
      </c>
    </row>
    <row r="2" spans="1:42">
      <c r="B2" s="1456"/>
    </row>
    <row r="3" spans="1:42" ht="19.5" customHeight="1">
      <c r="A3" s="596"/>
      <c r="B3" s="602" t="s">
        <v>0</v>
      </c>
      <c r="C3" s="597"/>
      <c r="D3" s="597"/>
      <c r="E3" s="597"/>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1830"/>
      <c r="AJ3" s="598"/>
      <c r="AK3" s="598"/>
      <c r="AN3" s="690" t="s">
        <v>197</v>
      </c>
    </row>
    <row r="4" spans="1:42" ht="19.5" customHeight="1">
      <c r="A4" s="596"/>
      <c r="B4" s="602" t="s">
        <v>1102</v>
      </c>
      <c r="C4" s="597"/>
      <c r="D4" s="597"/>
      <c r="E4" s="597"/>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G4" s="599"/>
      <c r="AH4" s="599"/>
    </row>
    <row r="5" spans="1:42" ht="19.5" customHeight="1">
      <c r="A5" s="596"/>
      <c r="B5" s="528" t="s">
        <v>150</v>
      </c>
      <c r="C5" s="597"/>
      <c r="D5" s="597"/>
      <c r="E5" s="597"/>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1830"/>
      <c r="AJ5" s="598"/>
      <c r="AK5" s="598"/>
      <c r="AN5" s="483"/>
    </row>
    <row r="6" spans="1:42" ht="19.5" customHeight="1">
      <c r="A6" s="596"/>
      <c r="B6" s="2505" t="str">
        <f>'Cashflow Governmental'!A6</f>
        <v>FISCAL YEAR 2018-2019</v>
      </c>
      <c r="C6" s="597"/>
      <c r="D6" s="597"/>
      <c r="E6" s="597"/>
      <c r="F6" s="598"/>
      <c r="G6" s="598"/>
      <c r="H6" s="600"/>
      <c r="I6" s="598"/>
      <c r="J6" s="598"/>
      <c r="K6" s="598"/>
      <c r="L6" s="598"/>
      <c r="M6" s="598"/>
      <c r="N6" s="598"/>
      <c r="O6" s="598"/>
      <c r="P6" s="598"/>
      <c r="Q6" s="598"/>
      <c r="R6" s="598"/>
      <c r="S6" s="598"/>
      <c r="T6" s="598"/>
      <c r="U6" s="598"/>
      <c r="V6" s="598"/>
      <c r="W6" s="598"/>
      <c r="X6" s="598"/>
      <c r="Y6" s="598"/>
      <c r="Z6" s="598"/>
      <c r="AA6" s="598"/>
      <c r="AB6" s="598"/>
      <c r="AC6" s="598"/>
      <c r="AD6" s="598"/>
      <c r="AE6" s="598"/>
      <c r="AF6" s="598"/>
      <c r="AG6" s="601"/>
      <c r="AH6" s="601"/>
      <c r="AI6" s="1838"/>
      <c r="AJ6" s="601"/>
      <c r="AK6" s="601"/>
    </row>
    <row r="7" spans="1:42" ht="19.5" customHeight="1">
      <c r="A7" s="596"/>
      <c r="B7" s="602" t="s">
        <v>959</v>
      </c>
      <c r="C7" s="597"/>
      <c r="D7" s="597"/>
      <c r="E7" s="597"/>
      <c r="F7" s="598"/>
      <c r="G7" s="598"/>
      <c r="H7" s="600"/>
      <c r="I7" s="598"/>
      <c r="J7" s="598"/>
      <c r="K7" s="598"/>
      <c r="L7" s="598"/>
      <c r="M7" s="598"/>
      <c r="N7" s="598"/>
      <c r="O7" s="598"/>
      <c r="P7" s="598"/>
      <c r="Q7" s="598"/>
      <c r="R7" s="598"/>
      <c r="S7" s="598"/>
      <c r="T7" s="598"/>
      <c r="U7" s="598"/>
      <c r="V7" s="598"/>
      <c r="W7" s="598"/>
      <c r="X7" s="598"/>
      <c r="Y7" s="598"/>
      <c r="Z7" s="598"/>
      <c r="AA7" s="598"/>
      <c r="AB7" s="598"/>
      <c r="AC7" s="598"/>
      <c r="AD7" s="598"/>
      <c r="AE7" s="598"/>
      <c r="AF7" s="598"/>
      <c r="AG7" s="601"/>
      <c r="AH7" s="601"/>
      <c r="AI7" s="1838"/>
      <c r="AJ7" s="601"/>
      <c r="AK7" s="601"/>
    </row>
    <row r="8" spans="1:42" ht="19.5" customHeight="1">
      <c r="A8" s="596"/>
      <c r="C8" s="597"/>
      <c r="D8" s="597"/>
      <c r="E8" s="597"/>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603"/>
    </row>
    <row r="9" spans="1:42" ht="15.75" customHeight="1">
      <c r="A9" s="596"/>
      <c r="B9" s="602"/>
      <c r="C9" s="597"/>
      <c r="D9" s="597"/>
      <c r="E9" s="597"/>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603"/>
    </row>
    <row r="10" spans="1:42" ht="15.75" customHeight="1">
      <c r="A10" s="596"/>
      <c r="B10" s="604"/>
      <c r="C10" s="597"/>
      <c r="D10" s="597"/>
      <c r="E10" s="597"/>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603"/>
    </row>
    <row r="11" spans="1:42" ht="15.75" customHeight="1">
      <c r="A11" s="596"/>
      <c r="B11" s="604"/>
      <c r="C11" s="597"/>
      <c r="D11" s="597"/>
      <c r="E11" s="1318"/>
      <c r="F11" s="1319"/>
      <c r="G11" s="1319"/>
      <c r="H11" s="1319"/>
      <c r="I11" s="1319"/>
      <c r="J11" s="1319"/>
      <c r="K11" s="1319"/>
      <c r="L11" s="1319"/>
      <c r="M11" s="1319"/>
      <c r="N11" s="1319"/>
      <c r="O11" s="1319"/>
      <c r="P11" s="1319"/>
      <c r="Q11" s="1319"/>
      <c r="R11" s="1319"/>
      <c r="S11" s="1319"/>
      <c r="T11" s="1319"/>
      <c r="U11" s="1319"/>
      <c r="V11" s="1319"/>
      <c r="W11" s="1319"/>
      <c r="X11" s="1319"/>
      <c r="Y11" s="1319"/>
      <c r="Z11" s="1319"/>
      <c r="AA11" s="1319"/>
      <c r="AB11" s="1319"/>
      <c r="AC11" s="1305" t="s">
        <v>1404</v>
      </c>
      <c r="AD11" s="1319"/>
      <c r="AE11" s="1320"/>
      <c r="AF11" s="3753" t="s">
        <v>1466</v>
      </c>
      <c r="AG11" s="3757"/>
      <c r="AH11" s="3757"/>
      <c r="AI11" s="3757"/>
      <c r="AJ11" s="3757"/>
      <c r="AK11" s="3757"/>
      <c r="AL11" s="3757"/>
      <c r="AM11" s="3757"/>
      <c r="AN11" s="3757"/>
    </row>
    <row r="12" spans="1:42" ht="15.75" customHeight="1">
      <c r="A12" s="605"/>
      <c r="B12" s="605"/>
      <c r="C12" s="605"/>
      <c r="D12" s="605"/>
      <c r="E12" s="1293" t="str">
        <f>'Cashflow Governmental'!C13</f>
        <v>2018</v>
      </c>
      <c r="F12" s="1321"/>
      <c r="G12" s="1321"/>
      <c r="H12" s="1321"/>
      <c r="I12" s="1321"/>
      <c r="J12" s="1321"/>
      <c r="K12" s="1321"/>
      <c r="L12" s="1321"/>
      <c r="M12" s="1321"/>
      <c r="N12" s="1321"/>
      <c r="O12" s="1321"/>
      <c r="P12" s="1321"/>
      <c r="Q12" s="1321"/>
      <c r="R12" s="1321"/>
      <c r="S12" s="1321"/>
      <c r="T12" s="1321"/>
      <c r="U12" s="1321"/>
      <c r="V12" s="1321"/>
      <c r="W12" s="1293" t="str">
        <f>'Cashflow Governmental'!U13</f>
        <v>2019</v>
      </c>
      <c r="X12" s="1321"/>
      <c r="Y12" s="1321"/>
      <c r="Z12" s="1321"/>
      <c r="AA12" s="1321"/>
      <c r="AB12" s="1321"/>
      <c r="AC12" s="1305" t="s">
        <v>1405</v>
      </c>
      <c r="AD12" s="1321"/>
      <c r="AE12" s="1321"/>
      <c r="AF12" s="1322"/>
      <c r="AG12" s="1322"/>
      <c r="AH12" s="1322"/>
      <c r="AI12" s="1841"/>
      <c r="AJ12" s="1322"/>
      <c r="AK12" s="1322"/>
      <c r="AL12" s="1299" t="s">
        <v>8</v>
      </c>
      <c r="AM12" s="1299"/>
      <c r="AN12" s="1294" t="s">
        <v>9</v>
      </c>
      <c r="AO12" s="1325"/>
    </row>
    <row r="13" spans="1:42" ht="15.75" customHeight="1">
      <c r="A13" s="218"/>
      <c r="B13" s="218"/>
      <c r="C13" s="218"/>
      <c r="D13" s="218"/>
      <c r="E13" s="1887" t="s">
        <v>126</v>
      </c>
      <c r="F13" s="458"/>
      <c r="G13" s="1887" t="s">
        <v>127</v>
      </c>
      <c r="H13" s="458"/>
      <c r="I13" s="1887" t="s">
        <v>128</v>
      </c>
      <c r="J13" s="458"/>
      <c r="K13" s="1887" t="s">
        <v>129</v>
      </c>
      <c r="L13" s="458"/>
      <c r="M13" s="3216" t="s">
        <v>130</v>
      </c>
      <c r="N13" s="458"/>
      <c r="O13" s="1887" t="s">
        <v>145</v>
      </c>
      <c r="P13" s="458"/>
      <c r="Q13" s="1887" t="s">
        <v>146</v>
      </c>
      <c r="R13" s="458"/>
      <c r="S13" s="1887" t="s">
        <v>133</v>
      </c>
      <c r="T13" s="458"/>
      <c r="U13" s="1887" t="s">
        <v>134</v>
      </c>
      <c r="V13" s="458"/>
      <c r="W13" s="1887" t="s">
        <v>135</v>
      </c>
      <c r="X13" s="458"/>
      <c r="Y13" s="1887" t="s">
        <v>136</v>
      </c>
      <c r="Z13" s="458"/>
      <c r="AA13" s="1887" t="s">
        <v>188</v>
      </c>
      <c r="AB13" s="1305"/>
      <c r="AC13" s="3261" t="s">
        <v>1406</v>
      </c>
      <c r="AD13" s="458"/>
      <c r="AE13" s="458"/>
      <c r="AF13" s="1887" t="str">
        <f>'Cashflow Governmental'!AB14</f>
        <v>2018</v>
      </c>
      <c r="AG13" s="458"/>
      <c r="AH13" s="458"/>
      <c r="AI13" s="1323" t="str">
        <f>'Cashflow Governmental'!AE14</f>
        <v>2017</v>
      </c>
      <c r="AJ13" s="1324"/>
      <c r="AK13" s="1324"/>
      <c r="AL13" s="1306" t="s">
        <v>12</v>
      </c>
      <c r="AM13" s="1297"/>
      <c r="AN13" s="1306" t="s">
        <v>13</v>
      </c>
      <c r="AO13" s="1890"/>
      <c r="AP13" s="607"/>
    </row>
    <row r="14" spans="1:42" ht="6" customHeight="1">
      <c r="A14" s="218"/>
      <c r="B14" s="216"/>
      <c r="C14" s="216"/>
      <c r="D14" s="218"/>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306"/>
      <c r="AJ14" s="247"/>
      <c r="AK14" s="356"/>
      <c r="AL14" s="607"/>
      <c r="AM14" s="607"/>
      <c r="AN14" s="607"/>
      <c r="AO14" s="607"/>
    </row>
    <row r="15" spans="1:42" ht="15.75" customHeight="1">
      <c r="A15" s="218"/>
      <c r="B15" s="363" t="s">
        <v>1358</v>
      </c>
      <c r="C15" s="216"/>
      <c r="D15" s="218"/>
      <c r="E15" s="543">
        <f>'Exhibit I State'!E14+'Exhibit I Federal'!E14</f>
        <v>-1151.1999999999998</v>
      </c>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v>0</v>
      </c>
      <c r="AD15" s="283"/>
      <c r="AE15" s="284"/>
      <c r="AF15" s="324">
        <f>E15</f>
        <v>-1151.1999999999998</v>
      </c>
      <c r="AG15" s="409"/>
      <c r="AH15" s="410"/>
      <c r="AI15" s="2742">
        <f>'Exhibit I State'!AG14+'Exhibit I Federal'!AG14</f>
        <v>-1060.5</v>
      </c>
      <c r="AJ15" s="283"/>
      <c r="AK15" s="609"/>
      <c r="AL15" s="608">
        <f>+AF15-AI15</f>
        <v>-90.699999999999818</v>
      </c>
      <c r="AM15" s="610"/>
      <c r="AN15" s="2315">
        <f>ROUND(IF(AI15=0,0,-AL15/(AI15)),3)</f>
        <v>-8.5999999999999993E-2</v>
      </c>
      <c r="AO15" s="612"/>
    </row>
    <row r="16" spans="1:42" ht="15.75" customHeight="1">
      <c r="A16" s="218"/>
      <c r="B16" s="216"/>
      <c r="C16" s="216"/>
      <c r="D16" s="218"/>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455"/>
      <c r="AF16" s="355"/>
      <c r="AG16" s="465"/>
      <c r="AH16" s="247"/>
      <c r="AI16" s="329"/>
      <c r="AJ16" s="355"/>
      <c r="AK16" s="606"/>
      <c r="AL16" s="607"/>
      <c r="AM16" s="607"/>
      <c r="AN16" s="607"/>
    </row>
    <row r="17" spans="1:46" ht="15.75">
      <c r="A17" s="218"/>
      <c r="B17" s="216" t="s">
        <v>198</v>
      </c>
      <c r="C17" s="218"/>
      <c r="D17" s="218"/>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455"/>
      <c r="AF17" s="355"/>
      <c r="AG17" s="465"/>
      <c r="AH17" s="247"/>
      <c r="AI17" s="329"/>
      <c r="AJ17" s="355"/>
      <c r="AK17" s="606"/>
      <c r="AL17" s="607"/>
      <c r="AM17" s="607"/>
      <c r="AN17" s="607"/>
    </row>
    <row r="18" spans="1:46" ht="15.75">
      <c r="A18" s="218"/>
      <c r="B18" s="467" t="s">
        <v>1193</v>
      </c>
      <c r="C18" s="218"/>
      <c r="D18" s="218"/>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455"/>
      <c r="AF18" s="355"/>
      <c r="AG18" s="1785"/>
      <c r="AH18" s="247"/>
      <c r="AI18" s="329"/>
      <c r="AJ18" s="355"/>
      <c r="AK18" s="606"/>
      <c r="AL18" s="607"/>
      <c r="AM18" s="607"/>
      <c r="AN18" s="607"/>
    </row>
    <row r="19" spans="1:46" ht="15.75">
      <c r="A19" s="218"/>
      <c r="B19" s="1768" t="s">
        <v>1261</v>
      </c>
      <c r="C19" s="218"/>
      <c r="D19" s="218"/>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455"/>
      <c r="AF19" s="355"/>
      <c r="AG19" s="1785"/>
      <c r="AH19" s="247"/>
      <c r="AI19" s="329"/>
      <c r="AJ19" s="355"/>
      <c r="AK19" s="606"/>
      <c r="AL19" s="607"/>
      <c r="AM19" s="607"/>
      <c r="AN19" s="607"/>
    </row>
    <row r="20" spans="1:46">
      <c r="A20" s="218"/>
      <c r="B20" s="1132" t="s">
        <v>1212</v>
      </c>
      <c r="C20" s="218"/>
      <c r="D20" s="218"/>
      <c r="E20" s="2228">
        <f>+'Exhibit I State'!E19</f>
        <v>0.6</v>
      </c>
      <c r="F20" s="2305"/>
      <c r="G20" s="2228"/>
      <c r="H20" s="2305"/>
      <c r="I20" s="2228"/>
      <c r="J20" s="2329"/>
      <c r="K20" s="2228"/>
      <c r="L20" s="2346"/>
      <c r="M20" s="2228"/>
      <c r="N20" s="2346"/>
      <c r="O20" s="2228"/>
      <c r="P20" s="529"/>
      <c r="Q20" s="2228"/>
      <c r="R20" s="529"/>
      <c r="S20" s="2228"/>
      <c r="T20" s="529"/>
      <c r="U20" s="2228"/>
      <c r="V20" s="529"/>
      <c r="W20" s="2228"/>
      <c r="X20" s="529"/>
      <c r="Y20" s="2228"/>
      <c r="Z20" s="529"/>
      <c r="AA20" s="2228"/>
      <c r="AB20" s="2228"/>
      <c r="AC20" s="2228">
        <v>0</v>
      </c>
      <c r="AD20" s="1770"/>
      <c r="AE20" s="529"/>
      <c r="AF20" s="254">
        <f>ROUND(SUM(E20:AC20),1)</f>
        <v>0.6</v>
      </c>
      <c r="AG20" s="1771"/>
      <c r="AH20" s="530"/>
      <c r="AI20" s="557">
        <f>+'Exhibit I State'!AG19</f>
        <v>8</v>
      </c>
      <c r="AJ20" s="534"/>
      <c r="AK20" s="553"/>
      <c r="AL20" s="562">
        <f>ROUND(SUM(AF20-AI20),1)</f>
        <v>-7.4</v>
      </c>
      <c r="AM20" s="540"/>
      <c r="AN20" s="2587">
        <f>ROUND(IF(AI20=0,0,AL20/ABS(AI20)),3)</f>
        <v>-0.92500000000000004</v>
      </c>
      <c r="AO20" s="915"/>
    </row>
    <row r="21" spans="1:46">
      <c r="A21" s="218"/>
      <c r="B21" s="1132" t="s">
        <v>1214</v>
      </c>
      <c r="C21" s="218"/>
      <c r="D21" s="218"/>
      <c r="E21" s="2228">
        <f>+'Exhibit I State'!E20</f>
        <v>31</v>
      </c>
      <c r="F21" s="2305"/>
      <c r="G21" s="2228"/>
      <c r="H21" s="2305"/>
      <c r="I21" s="2228"/>
      <c r="J21" s="2329"/>
      <c r="K21" s="2228"/>
      <c r="L21" s="2346"/>
      <c r="M21" s="2228"/>
      <c r="N21" s="2346"/>
      <c r="O21" s="2228"/>
      <c r="P21" s="529"/>
      <c r="Q21" s="2228"/>
      <c r="R21" s="529"/>
      <c r="S21" s="2228"/>
      <c r="T21" s="529"/>
      <c r="U21" s="2228"/>
      <c r="V21" s="529"/>
      <c r="W21" s="2228"/>
      <c r="X21" s="529"/>
      <c r="Y21" s="2228"/>
      <c r="Z21" s="529"/>
      <c r="AA21" s="2228"/>
      <c r="AB21" s="2228"/>
      <c r="AC21" s="2228">
        <v>0</v>
      </c>
      <c r="AD21" s="1770"/>
      <c r="AE21" s="529"/>
      <c r="AF21" s="254">
        <f>ROUND(SUM(E21:AC21),1)</f>
        <v>31</v>
      </c>
      <c r="AG21" s="1771"/>
      <c r="AH21" s="530"/>
      <c r="AI21" s="557">
        <f>+'Exhibit I State'!AG20</f>
        <v>32.799999999999997</v>
      </c>
      <c r="AJ21" s="534"/>
      <c r="AK21" s="553"/>
      <c r="AL21" s="562">
        <f>ROUND(SUM(AF21-AI21),1)</f>
        <v>-1.8</v>
      </c>
      <c r="AM21" s="540"/>
      <c r="AN21" s="45">
        <f>ROUND(IF(AI21=0,0,AL21/ABS(AI21)),3)</f>
        <v>-5.5E-2</v>
      </c>
      <c r="AO21" s="915"/>
    </row>
    <row r="22" spans="1:46">
      <c r="A22" s="218"/>
      <c r="B22" s="1132" t="s">
        <v>1216</v>
      </c>
      <c r="C22" s="218"/>
      <c r="D22" s="218"/>
      <c r="E22" s="2228">
        <f>+'Exhibit I State'!E21</f>
        <v>12.8</v>
      </c>
      <c r="F22" s="2305"/>
      <c r="G22" s="2228"/>
      <c r="H22" s="2305"/>
      <c r="I22" s="2228"/>
      <c r="J22" s="2329"/>
      <c r="K22" s="2228"/>
      <c r="L22" s="2346"/>
      <c r="M22" s="2228"/>
      <c r="N22" s="2346"/>
      <c r="O22" s="2228"/>
      <c r="P22" s="529"/>
      <c r="Q22" s="2228"/>
      <c r="R22" s="529"/>
      <c r="S22" s="2228"/>
      <c r="T22" s="529"/>
      <c r="U22" s="2228"/>
      <c r="V22" s="529"/>
      <c r="W22" s="2228"/>
      <c r="X22" s="529"/>
      <c r="Y22" s="2228"/>
      <c r="Z22" s="529"/>
      <c r="AA22" s="2228"/>
      <c r="AB22" s="2228"/>
      <c r="AC22" s="2228">
        <v>0</v>
      </c>
      <c r="AD22" s="1770"/>
      <c r="AE22" s="529"/>
      <c r="AF22" s="254">
        <f>ROUND(SUM(E22:AC22),1)</f>
        <v>12.8</v>
      </c>
      <c r="AG22" s="1771"/>
      <c r="AH22" s="530"/>
      <c r="AI22" s="557">
        <f>+'Exhibit I State'!AG21</f>
        <v>11.5</v>
      </c>
      <c r="AJ22" s="534"/>
      <c r="AK22" s="553"/>
      <c r="AL22" s="562">
        <f>ROUND(SUM(AF22-AI22),1)</f>
        <v>1.3</v>
      </c>
      <c r="AM22" s="540"/>
      <c r="AN22" s="45">
        <f>ROUND(IF(AI22=0,0,AL22/ABS(AI22)),3)</f>
        <v>0.113</v>
      </c>
      <c r="AO22" s="915"/>
    </row>
    <row r="23" spans="1:46" ht="15.75">
      <c r="A23" s="218"/>
      <c r="B23" s="555" t="s">
        <v>1308</v>
      </c>
      <c r="C23" s="218"/>
      <c r="D23" s="218"/>
      <c r="E23" s="2347">
        <f>ROUND(SUM(E20:E22),1)</f>
        <v>44.4</v>
      </c>
      <c r="F23" s="2348"/>
      <c r="G23" s="2347">
        <f>ROUND(SUM(G20:G22),1)</f>
        <v>0</v>
      </c>
      <c r="H23" s="2348"/>
      <c r="I23" s="2347">
        <f>ROUND(SUM(I20:I22),1)</f>
        <v>0</v>
      </c>
      <c r="J23" s="2348"/>
      <c r="K23" s="2347">
        <f>ROUND(SUM(K20:K22),1)</f>
        <v>0</v>
      </c>
      <c r="L23" s="2346"/>
      <c r="M23" s="2347">
        <f>ROUND(SUM(M20:M22),1)</f>
        <v>0</v>
      </c>
      <c r="N23" s="2346"/>
      <c r="O23" s="2347">
        <f>ROUND(SUM(O20:O22),1)</f>
        <v>0</v>
      </c>
      <c r="P23" s="529"/>
      <c r="Q23" s="2347">
        <f>ROUND(SUM(Q20:Q22),1)</f>
        <v>0</v>
      </c>
      <c r="R23" s="529"/>
      <c r="S23" s="2347">
        <f>ROUND(SUM(S20:S22),1)</f>
        <v>0</v>
      </c>
      <c r="T23" s="529"/>
      <c r="U23" s="2347">
        <f>ROUND(SUM(U20:U22),1)</f>
        <v>0</v>
      </c>
      <c r="V23" s="529"/>
      <c r="W23" s="2347">
        <f>ROUND(SUM(W20:W22),1)</f>
        <v>0</v>
      </c>
      <c r="X23" s="529"/>
      <c r="Y23" s="2347">
        <f>ROUND(SUM(Y20:Y22),1)</f>
        <v>0</v>
      </c>
      <c r="Z23" s="529"/>
      <c r="AA23" s="2347">
        <f>ROUND(SUM(AA20:AA22),1)</f>
        <v>0</v>
      </c>
      <c r="AB23" s="2349"/>
      <c r="AC23" s="2347">
        <f>ROUND(SUM(AC20:AC22),1)</f>
        <v>0</v>
      </c>
      <c r="AD23" s="1770"/>
      <c r="AE23" s="529"/>
      <c r="AF23" s="463">
        <f>ROUND(SUM(AF20:AF22),1)</f>
        <v>44.4</v>
      </c>
      <c r="AG23" s="1771"/>
      <c r="AH23" s="530"/>
      <c r="AI23" s="2514">
        <f>ROUND(SUM(AI20:AI22),1)</f>
        <v>52.3</v>
      </c>
      <c r="AJ23" s="534"/>
      <c r="AK23" s="553"/>
      <c r="AL23" s="1889">
        <f>ROUND(SUM(AF23-AI23),1)</f>
        <v>-7.9</v>
      </c>
      <c r="AM23" s="549"/>
      <c r="AN23" s="70">
        <f>ROUND(IF(AI23=0,0,AL23/ABS(AI23)),3)</f>
        <v>-0.151</v>
      </c>
      <c r="AO23" s="915"/>
    </row>
    <row r="24" spans="1:46" ht="15.75">
      <c r="A24" s="218"/>
      <c r="B24" s="1768" t="s">
        <v>1262</v>
      </c>
      <c r="C24" s="218"/>
      <c r="D24" s="218"/>
      <c r="E24" s="2349"/>
      <c r="F24" s="2348"/>
      <c r="G24" s="2349"/>
      <c r="H24" s="2348"/>
      <c r="I24" s="2349"/>
      <c r="J24" s="2348"/>
      <c r="K24" s="2349"/>
      <c r="L24" s="2346"/>
      <c r="M24" s="2349"/>
      <c r="N24" s="2346"/>
      <c r="O24" s="2349"/>
      <c r="P24" s="529"/>
      <c r="Q24" s="2349"/>
      <c r="R24" s="529"/>
      <c r="S24" s="2349"/>
      <c r="T24" s="529"/>
      <c r="U24" s="2349"/>
      <c r="V24" s="529"/>
      <c r="W24" s="2349"/>
      <c r="X24" s="529"/>
      <c r="Y24" s="2349"/>
      <c r="Z24" s="529"/>
      <c r="AA24" s="2349"/>
      <c r="AB24" s="2349"/>
      <c r="AC24" s="2349"/>
      <c r="AD24" s="1770"/>
      <c r="AE24" s="529"/>
      <c r="AF24" s="264"/>
      <c r="AG24" s="1771"/>
      <c r="AH24" s="530"/>
      <c r="AI24" s="304"/>
      <c r="AJ24" s="534"/>
      <c r="AK24" s="553"/>
      <c r="AL24" s="1774"/>
      <c r="AM24" s="549"/>
      <c r="AN24" s="109"/>
      <c r="AO24" s="915"/>
    </row>
    <row r="25" spans="1:46" ht="15.75">
      <c r="A25" s="218"/>
      <c r="B25" s="1132" t="s">
        <v>1219</v>
      </c>
      <c r="C25" s="218"/>
      <c r="D25" s="218"/>
      <c r="E25" s="2228">
        <f>+'Exhibit I State'!E24</f>
        <v>0</v>
      </c>
      <c r="F25" s="2348"/>
      <c r="G25" s="2228"/>
      <c r="H25" s="2348"/>
      <c r="I25" s="2228"/>
      <c r="J25" s="2348"/>
      <c r="K25" s="2228"/>
      <c r="L25" s="2346"/>
      <c r="M25" s="2228"/>
      <c r="N25" s="2346"/>
      <c r="O25" s="2228"/>
      <c r="P25" s="529"/>
      <c r="Q25" s="2228"/>
      <c r="R25" s="529"/>
      <c r="S25" s="2228"/>
      <c r="T25" s="529"/>
      <c r="U25" s="2228"/>
      <c r="V25" s="529"/>
      <c r="W25" s="2228"/>
      <c r="X25" s="529"/>
      <c r="Y25" s="2228"/>
      <c r="Z25" s="529"/>
      <c r="AA25" s="2228"/>
      <c r="AB25" s="2228"/>
      <c r="AC25" s="2228">
        <v>0</v>
      </c>
      <c r="AD25" s="1770"/>
      <c r="AE25" s="529"/>
      <c r="AF25" s="1608">
        <v>0</v>
      </c>
      <c r="AG25" s="1771"/>
      <c r="AH25" s="530"/>
      <c r="AI25" s="557">
        <f>+'Exhibit I State'!AG24</f>
        <v>0</v>
      </c>
      <c r="AJ25" s="534"/>
      <c r="AK25" s="553"/>
      <c r="AL25" s="562">
        <f>ROUND(SUM(AF25-AI25),1)</f>
        <v>0</v>
      </c>
      <c r="AM25" s="540"/>
      <c r="AN25" s="2345">
        <f>ROUND(IF(AI25=0,0,AL25/ABS(AI25)),3)</f>
        <v>0</v>
      </c>
      <c r="AO25" s="915"/>
      <c r="AP25" s="525"/>
      <c r="AQ25" s="525"/>
      <c r="AR25" s="525"/>
      <c r="AS25" s="525"/>
      <c r="AT25" s="525"/>
    </row>
    <row r="26" spans="1:46" ht="15.75">
      <c r="A26" s="218"/>
      <c r="B26" s="1132" t="s">
        <v>1220</v>
      </c>
      <c r="C26" s="218"/>
      <c r="D26" s="218"/>
      <c r="E26" s="2228">
        <f>+'Exhibit I State'!E25</f>
        <v>3.1</v>
      </c>
      <c r="F26" s="2305"/>
      <c r="G26" s="2228"/>
      <c r="H26" s="2305"/>
      <c r="I26" s="2228"/>
      <c r="J26" s="2348"/>
      <c r="K26" s="2228"/>
      <c r="L26" s="2346"/>
      <c r="M26" s="2228"/>
      <c r="N26" s="2346"/>
      <c r="O26" s="2228"/>
      <c r="P26" s="529"/>
      <c r="Q26" s="2228"/>
      <c r="R26" s="529"/>
      <c r="S26" s="2228"/>
      <c r="T26" s="529"/>
      <c r="U26" s="2228"/>
      <c r="V26" s="529"/>
      <c r="W26" s="2228"/>
      <c r="X26" s="529"/>
      <c r="Y26" s="2228"/>
      <c r="Z26" s="529"/>
      <c r="AA26" s="2228"/>
      <c r="AB26" s="2228"/>
      <c r="AC26" s="2228">
        <v>0</v>
      </c>
      <c r="AD26" s="1770"/>
      <c r="AE26" s="529"/>
      <c r="AF26" s="254">
        <f>ROUND(SUM(E26:AC26),1)</f>
        <v>3.1</v>
      </c>
      <c r="AG26" s="1771"/>
      <c r="AH26" s="530"/>
      <c r="AI26" s="557">
        <f>+'Exhibit I State'!AG25</f>
        <v>0.9</v>
      </c>
      <c r="AJ26" s="534"/>
      <c r="AK26" s="553"/>
      <c r="AL26" s="562">
        <f>ROUND(SUM(AF26-AI26),1)</f>
        <v>2.2000000000000002</v>
      </c>
      <c r="AM26" s="540"/>
      <c r="AN26" s="2324">
        <f>ROUND(IF(AI26=0,1,AL26/ABS(AI26)),3)</f>
        <v>2.444</v>
      </c>
      <c r="AO26" s="915"/>
      <c r="AP26" s="525"/>
      <c r="AQ26" s="525"/>
      <c r="AR26" s="525"/>
      <c r="AS26" s="525"/>
      <c r="AT26" s="525"/>
    </row>
    <row r="27" spans="1:46" ht="15.75">
      <c r="A27" s="218"/>
      <c r="B27" s="1132" t="s">
        <v>1223</v>
      </c>
      <c r="C27" s="218"/>
      <c r="D27" s="218"/>
      <c r="E27" s="2228">
        <f>+'Exhibit I State'!E26</f>
        <v>64.5</v>
      </c>
      <c r="F27" s="2305"/>
      <c r="G27" s="2228"/>
      <c r="H27" s="2305"/>
      <c r="I27" s="2228"/>
      <c r="J27" s="2348"/>
      <c r="K27" s="2228"/>
      <c r="L27" s="2346"/>
      <c r="M27" s="2228"/>
      <c r="N27" s="2346"/>
      <c r="O27" s="2228"/>
      <c r="P27" s="529"/>
      <c r="Q27" s="2228"/>
      <c r="R27" s="529"/>
      <c r="S27" s="2228"/>
      <c r="T27" s="529"/>
      <c r="U27" s="2228"/>
      <c r="V27" s="529"/>
      <c r="W27" s="2228"/>
      <c r="X27" s="529"/>
      <c r="Y27" s="2228"/>
      <c r="Z27" s="529"/>
      <c r="AA27" s="2228"/>
      <c r="AB27" s="2228"/>
      <c r="AC27" s="2228">
        <v>0</v>
      </c>
      <c r="AD27" s="1770"/>
      <c r="AE27" s="529"/>
      <c r="AF27" s="254">
        <f>ROUND(SUM(E27:AC27),1)</f>
        <v>64.5</v>
      </c>
      <c r="AG27" s="1771"/>
      <c r="AH27" s="530"/>
      <c r="AI27" s="557">
        <f>+'Exhibit I State'!AG26</f>
        <v>45.9</v>
      </c>
      <c r="AJ27" s="534"/>
      <c r="AK27" s="553"/>
      <c r="AL27" s="562">
        <f>ROUND(SUM(AF27-AI27),1)</f>
        <v>18.600000000000001</v>
      </c>
      <c r="AM27" s="540"/>
      <c r="AN27" s="2310">
        <f>ROUND(IF(AI27=0,0,AL27/ABS(AI27)),3)</f>
        <v>0.40500000000000003</v>
      </c>
      <c r="AO27" s="915"/>
      <c r="AP27" s="525"/>
      <c r="AQ27" s="525"/>
      <c r="AR27" s="525"/>
      <c r="AS27" s="525"/>
      <c r="AT27" s="525"/>
    </row>
    <row r="28" spans="1:46" ht="15.75">
      <c r="A28" s="218"/>
      <c r="B28" s="555" t="s">
        <v>1309</v>
      </c>
      <c r="C28" s="218"/>
      <c r="D28" s="218"/>
      <c r="E28" s="2347">
        <f>ROUND(SUM(E25:E27),1)</f>
        <v>67.599999999999994</v>
      </c>
      <c r="F28" s="2305"/>
      <c r="G28" s="2347">
        <f>ROUND(SUM(G25:G27),1)</f>
        <v>0</v>
      </c>
      <c r="H28" s="2305"/>
      <c r="I28" s="2347">
        <f>ROUND(SUM(I25:I27),1)</f>
        <v>0</v>
      </c>
      <c r="J28" s="2348"/>
      <c r="K28" s="2347">
        <f>ROUND(SUM(K25:K27),1)</f>
        <v>0</v>
      </c>
      <c r="L28" s="2346"/>
      <c r="M28" s="2347">
        <f>ROUND(SUM(M25:M27),1)</f>
        <v>0</v>
      </c>
      <c r="N28" s="2346"/>
      <c r="O28" s="2347">
        <f>ROUND(SUM(O25:O27),1)</f>
        <v>0</v>
      </c>
      <c r="P28" s="529"/>
      <c r="Q28" s="2347">
        <f>ROUND(SUM(Q25:Q27),1)</f>
        <v>0</v>
      </c>
      <c r="R28" s="529"/>
      <c r="S28" s="2347">
        <f>ROUND(SUM(S25:S27),1)</f>
        <v>0</v>
      </c>
      <c r="T28" s="529"/>
      <c r="U28" s="2347">
        <f>ROUND(SUM(U25:U27),1)</f>
        <v>0</v>
      </c>
      <c r="V28" s="529"/>
      <c r="W28" s="2347">
        <f>ROUND(SUM(W25:W27),1)</f>
        <v>0</v>
      </c>
      <c r="X28" s="529"/>
      <c r="Y28" s="2347">
        <f>ROUND(SUM(Y25:Y27),1)</f>
        <v>0</v>
      </c>
      <c r="Z28" s="529"/>
      <c r="AA28" s="2347">
        <f>ROUND(SUM(AA25:AA27),1)</f>
        <v>0</v>
      </c>
      <c r="AB28" s="2349"/>
      <c r="AC28" s="2347">
        <f>ROUND(SUM(AC25:AC27),1)</f>
        <v>0</v>
      </c>
      <c r="AD28" s="1770"/>
      <c r="AE28" s="529"/>
      <c r="AF28" s="1144">
        <f>ROUND(SUM(AF25:AF27),1)</f>
        <v>67.599999999999994</v>
      </c>
      <c r="AG28" s="1771"/>
      <c r="AH28" s="530"/>
      <c r="AI28" s="2514">
        <f>ROUND(SUM(AI25:AI27),1)</f>
        <v>46.8</v>
      </c>
      <c r="AJ28" s="534"/>
      <c r="AK28" s="553"/>
      <c r="AL28" s="1144">
        <f>ROUND(SUM(AL25:AL27),1)</f>
        <v>20.8</v>
      </c>
      <c r="AM28" s="540"/>
      <c r="AN28" s="2342">
        <f>ROUND(IF(AI28=0,0,AL28/ABS(AI28)),3)</f>
        <v>0.44400000000000001</v>
      </c>
      <c r="AO28" s="915"/>
      <c r="AP28" s="525"/>
      <c r="AQ28" s="525"/>
      <c r="AR28" s="525"/>
      <c r="AS28" s="525"/>
      <c r="AT28" s="525"/>
    </row>
    <row r="29" spans="1:46" ht="15.75">
      <c r="A29" s="218"/>
      <c r="B29" s="1768" t="s">
        <v>1263</v>
      </c>
      <c r="C29" s="218"/>
      <c r="D29" s="218"/>
      <c r="E29" s="3059"/>
      <c r="F29" s="3059"/>
      <c r="G29" s="3059"/>
      <c r="H29" s="3059"/>
      <c r="I29" s="3059"/>
      <c r="J29" s="3059"/>
      <c r="K29" s="3059"/>
      <c r="L29" s="2350"/>
      <c r="M29" s="2350"/>
      <c r="N29" s="2350"/>
      <c r="O29" s="2350"/>
      <c r="P29" s="355"/>
      <c r="Q29" s="2350"/>
      <c r="R29" s="355"/>
      <c r="S29" s="2350"/>
      <c r="T29" s="355"/>
      <c r="U29" s="2350"/>
      <c r="V29" s="355"/>
      <c r="W29" s="2350"/>
      <c r="X29" s="355"/>
      <c r="Y29" s="2350"/>
      <c r="Z29" s="355"/>
      <c r="AA29" s="2350"/>
      <c r="AB29" s="2350"/>
      <c r="AC29" s="2350"/>
      <c r="AD29" s="355"/>
      <c r="AE29" s="455"/>
      <c r="AF29" s="355"/>
      <c r="AG29" s="1785"/>
      <c r="AH29" s="247"/>
      <c r="AI29" s="329"/>
      <c r="AJ29" s="355"/>
      <c r="AK29" s="606"/>
      <c r="AL29" s="607"/>
      <c r="AM29" s="607"/>
      <c r="AN29" s="2351"/>
    </row>
    <row r="30" spans="1:46" ht="15.75">
      <c r="A30" s="218"/>
      <c r="B30" s="1132" t="s">
        <v>1229</v>
      </c>
      <c r="C30" s="218"/>
      <c r="D30" s="218"/>
      <c r="E30" s="2228">
        <f>+'Exhibit I State'!E29</f>
        <v>0</v>
      </c>
      <c r="F30" s="2305"/>
      <c r="G30" s="2228"/>
      <c r="H30" s="2305"/>
      <c r="I30" s="2228"/>
      <c r="J30" s="2348"/>
      <c r="K30" s="2228"/>
      <c r="L30" s="2346"/>
      <c r="M30" s="2228"/>
      <c r="N30" s="2346"/>
      <c r="O30" s="2228"/>
      <c r="P30" s="529"/>
      <c r="Q30" s="2228"/>
      <c r="R30" s="529"/>
      <c r="S30" s="2228"/>
      <c r="T30" s="529"/>
      <c r="U30" s="2228"/>
      <c r="V30" s="529"/>
      <c r="W30" s="2228"/>
      <c r="X30" s="529"/>
      <c r="Y30" s="2228"/>
      <c r="Z30" s="529"/>
      <c r="AA30" s="2228"/>
      <c r="AB30" s="2228"/>
      <c r="AC30" s="2228">
        <v>0</v>
      </c>
      <c r="AD30" s="1770"/>
      <c r="AE30" s="529"/>
      <c r="AF30" s="254">
        <f>ROUND(SUM(E30:AC30),1)</f>
        <v>0</v>
      </c>
      <c r="AG30" s="1771"/>
      <c r="AH30" s="530"/>
      <c r="AI30" s="557">
        <f>+'Exhibit I State'!AG29</f>
        <v>0</v>
      </c>
      <c r="AJ30" s="534"/>
      <c r="AK30" s="553"/>
      <c r="AL30" s="562">
        <f>ROUND(SUM(AF30-AI30),1)</f>
        <v>0</v>
      </c>
      <c r="AM30" s="540"/>
      <c r="AN30" s="2310">
        <f>ROUND(IF(AI30=0,0,AL30/ABS(AI30)),3)</f>
        <v>0</v>
      </c>
      <c r="AO30" s="915"/>
      <c r="AP30" s="525"/>
      <c r="AQ30" s="525"/>
      <c r="AR30" s="525"/>
    </row>
    <row r="31" spans="1:46" ht="15.75">
      <c r="A31" s="218"/>
      <c r="B31" s="555" t="s">
        <v>1310</v>
      </c>
      <c r="C31" s="218"/>
      <c r="D31" s="218"/>
      <c r="E31" s="463">
        <f>ROUND(SUM(E30:E30),1)</f>
        <v>0</v>
      </c>
      <c r="F31" s="1587"/>
      <c r="G31" s="463">
        <f>ROUND(SUM(G30:G30),1)</f>
        <v>0</v>
      </c>
      <c r="H31" s="1587"/>
      <c r="I31" s="463">
        <f>ROUND(SUM(I30:I30),1)</f>
        <v>0</v>
      </c>
      <c r="J31" s="1587"/>
      <c r="K31" s="463">
        <f>ROUND(SUM(K30:K30),1)</f>
        <v>0</v>
      </c>
      <c r="L31" s="529"/>
      <c r="M31" s="249">
        <f>ROUND(SUM(M30:M30),1)</f>
        <v>0</v>
      </c>
      <c r="N31" s="529"/>
      <c r="O31" s="249">
        <f>ROUND(SUM(O30:O30),1)</f>
        <v>0</v>
      </c>
      <c r="P31" s="529"/>
      <c r="Q31" s="249">
        <f>ROUND(SUM(Q30:Q30),1)</f>
        <v>0</v>
      </c>
      <c r="R31" s="529"/>
      <c r="S31" s="249">
        <f>ROUND(SUM(S30:S30),1)</f>
        <v>0</v>
      </c>
      <c r="T31" s="529"/>
      <c r="U31" s="249">
        <f>ROUND(SUM(U30:U30),1)</f>
        <v>0</v>
      </c>
      <c r="V31" s="529"/>
      <c r="W31" s="249">
        <f>ROUND(SUM(W30:W30),1)</f>
        <v>0</v>
      </c>
      <c r="X31" s="529"/>
      <c r="Y31" s="249">
        <f>ROUND(SUM(Y30:Y30),1)</f>
        <v>0</v>
      </c>
      <c r="Z31" s="529"/>
      <c r="AA31" s="249">
        <f>ROUND(SUM(AA30:AA30),1)</f>
        <v>0</v>
      </c>
      <c r="AB31" s="2503"/>
      <c r="AC31" s="249">
        <f>ROUND(SUM(AC30:AC30),1)</f>
        <v>0</v>
      </c>
      <c r="AD31" s="1770"/>
      <c r="AE31" s="529"/>
      <c r="AF31" s="249">
        <f>ROUND(SUM(AF30:AF30),1)</f>
        <v>0</v>
      </c>
      <c r="AG31" s="1771"/>
      <c r="AH31" s="530"/>
      <c r="AI31" s="502">
        <f>ROUND(SUM(AI30:AI30),1)</f>
        <v>0</v>
      </c>
      <c r="AJ31" s="534"/>
      <c r="AK31" s="553"/>
      <c r="AL31" s="1889">
        <f>ROUND(SUM(AF31-AI31),1)</f>
        <v>0</v>
      </c>
      <c r="AM31" s="549"/>
      <c r="AN31" s="2328">
        <f>ROUND(IF(AI31=0,0,AL31/ABS(AI31)),3)</f>
        <v>0</v>
      </c>
      <c r="AO31" s="915"/>
      <c r="AP31" s="525"/>
      <c r="AQ31" s="525"/>
      <c r="AR31" s="525"/>
    </row>
    <row r="32" spans="1:46" ht="15.75">
      <c r="A32" s="218"/>
      <c r="B32" s="555"/>
      <c r="C32" s="218"/>
      <c r="D32" s="218"/>
      <c r="E32" s="463"/>
      <c r="F32" s="1587"/>
      <c r="G32" s="463"/>
      <c r="H32" s="1587"/>
      <c r="I32" s="463"/>
      <c r="J32" s="1587"/>
      <c r="K32" s="463"/>
      <c r="L32" s="529"/>
      <c r="M32" s="463"/>
      <c r="N32" s="529"/>
      <c r="O32" s="463"/>
      <c r="P32" s="529"/>
      <c r="Q32" s="463"/>
      <c r="R32" s="529"/>
      <c r="S32" s="463"/>
      <c r="T32" s="529"/>
      <c r="U32" s="463"/>
      <c r="V32" s="529"/>
      <c r="W32" s="463"/>
      <c r="X32" s="529"/>
      <c r="Y32" s="463"/>
      <c r="Z32" s="529"/>
      <c r="AA32" s="463"/>
      <c r="AB32" s="2503"/>
      <c r="AC32" s="463"/>
      <c r="AD32" s="1770"/>
      <c r="AE32" s="529"/>
      <c r="AF32" s="463"/>
      <c r="AG32" s="1771"/>
      <c r="AH32" s="530"/>
      <c r="AI32" s="530"/>
      <c r="AJ32" s="534"/>
      <c r="AK32" s="553"/>
      <c r="AL32" s="554"/>
      <c r="AM32" s="540"/>
      <c r="AN32" s="2341"/>
      <c r="AO32" s="915"/>
      <c r="AP32" s="525"/>
      <c r="AQ32" s="525"/>
      <c r="AR32" s="525"/>
    </row>
    <row r="33" spans="1:44" ht="15.75">
      <c r="A33" s="218"/>
      <c r="B33" s="555" t="s">
        <v>1225</v>
      </c>
      <c r="C33" s="218"/>
      <c r="D33" s="218"/>
      <c r="E33" s="3060">
        <f>ROUND(SUM(E11+E28+E23+E31),1)</f>
        <v>112</v>
      </c>
      <c r="F33" s="2502"/>
      <c r="G33" s="3060">
        <f>ROUND(SUM(G11+G28+G23+G31),1)</f>
        <v>0</v>
      </c>
      <c r="H33" s="2502"/>
      <c r="I33" s="3060">
        <f>ROUND(SUM(I11+I28+I23+I31),1)</f>
        <v>0</v>
      </c>
      <c r="J33" s="2502"/>
      <c r="K33" s="3060">
        <f>ROUND(SUM(K11+K28+K23+K31),1)</f>
        <v>0</v>
      </c>
      <c r="L33" s="529"/>
      <c r="M33" s="1772">
        <f>ROUND(SUM(M11+M28+M23+M31),1)</f>
        <v>0</v>
      </c>
      <c r="N33" s="529"/>
      <c r="O33" s="1772">
        <f>ROUND(SUM(O11+O28+O23+O31),1)</f>
        <v>0</v>
      </c>
      <c r="P33" s="529"/>
      <c r="Q33" s="1772">
        <f>ROUND(SUM(Q11+Q28+Q23+Q31),1)</f>
        <v>0</v>
      </c>
      <c r="R33" s="529"/>
      <c r="S33" s="1772">
        <f>ROUND(SUM(S11+S28+S23+S31),1)</f>
        <v>0</v>
      </c>
      <c r="T33" s="529"/>
      <c r="U33" s="1772">
        <f>ROUND(SUM(U11+U28+U23+U31),1)</f>
        <v>0</v>
      </c>
      <c r="V33" s="529"/>
      <c r="W33" s="1772">
        <f>ROUND(SUM(W11+W28+W23+W31),1)</f>
        <v>0</v>
      </c>
      <c r="X33" s="529"/>
      <c r="Y33" s="1772">
        <f>ROUND(SUM(Y11+Y28+Y23+Y31),1)</f>
        <v>0</v>
      </c>
      <c r="Z33" s="529"/>
      <c r="AA33" s="1772">
        <f>ROUND(SUM(AA11+AA28+AA23+AA31),1)</f>
        <v>0</v>
      </c>
      <c r="AB33" s="1775"/>
      <c r="AC33" s="1772">
        <f>ROUND(SUM(AC15+AC28+AC23+AC31),1)</f>
        <v>0</v>
      </c>
      <c r="AD33" s="1770"/>
      <c r="AE33" s="529"/>
      <c r="AF33" s="1772">
        <f>ROUND(SUM(AF28+AF23+AF31),1)</f>
        <v>112</v>
      </c>
      <c r="AG33" s="1771"/>
      <c r="AH33" s="530"/>
      <c r="AI33" s="1772">
        <f>ROUND(SUM(AI28+AI23+AI31),1)</f>
        <v>99.1</v>
      </c>
      <c r="AJ33" s="534"/>
      <c r="AK33" s="553"/>
      <c r="AL33" s="1889">
        <f>ROUND(SUM(AF33-AI33),1)</f>
        <v>12.9</v>
      </c>
      <c r="AM33" s="549"/>
      <c r="AN33" s="2328">
        <f>ROUND(IF(AI33=0,0,AL33/ABS(AI33)),3)</f>
        <v>0.13</v>
      </c>
      <c r="AO33" s="915"/>
      <c r="AP33" s="525"/>
      <c r="AQ33" s="525"/>
      <c r="AR33" s="525"/>
    </row>
    <row r="34" spans="1:44" ht="15.75">
      <c r="A34" s="218"/>
      <c r="B34" s="555"/>
      <c r="C34" s="218"/>
      <c r="D34" s="218"/>
      <c r="E34" s="3061"/>
      <c r="F34" s="2502"/>
      <c r="G34" s="3061"/>
      <c r="H34" s="2502"/>
      <c r="I34" s="3061"/>
      <c r="J34" s="2502"/>
      <c r="K34" s="3061"/>
      <c r="L34" s="529"/>
      <c r="M34" s="1775"/>
      <c r="N34" s="529"/>
      <c r="O34" s="1775"/>
      <c r="P34" s="529"/>
      <c r="Q34" s="1775"/>
      <c r="R34" s="529"/>
      <c r="S34" s="1775"/>
      <c r="T34" s="529"/>
      <c r="U34" s="1775"/>
      <c r="V34" s="529"/>
      <c r="W34" s="1775"/>
      <c r="X34" s="529"/>
      <c r="Y34" s="1775"/>
      <c r="Z34" s="529"/>
      <c r="AA34" s="1775"/>
      <c r="AB34" s="1775"/>
      <c r="AC34" s="1775"/>
      <c r="AD34" s="2243"/>
      <c r="AE34" s="529"/>
      <c r="AF34" s="1775"/>
      <c r="AG34" s="1771"/>
      <c r="AH34" s="530"/>
      <c r="AI34" s="1775"/>
      <c r="AJ34" s="534"/>
      <c r="AK34" s="553"/>
      <c r="AL34" s="1774"/>
      <c r="AM34" s="549"/>
      <c r="AN34" s="2315"/>
      <c r="AO34" s="915"/>
      <c r="AP34" s="525"/>
      <c r="AQ34" s="525"/>
      <c r="AR34" s="525"/>
    </row>
    <row r="35" spans="1:44" ht="15.75">
      <c r="A35" s="218"/>
      <c r="B35" s="467" t="s">
        <v>1128</v>
      </c>
      <c r="C35" s="218"/>
      <c r="D35" s="218"/>
      <c r="E35" s="1117"/>
      <c r="F35" s="2502"/>
      <c r="G35" s="1117"/>
      <c r="H35" s="2502"/>
      <c r="I35" s="1117"/>
      <c r="J35" s="2502"/>
      <c r="K35" s="1117"/>
      <c r="L35" s="254"/>
      <c r="M35" s="360"/>
      <c r="N35" s="254"/>
      <c r="O35" s="360"/>
      <c r="P35" s="254"/>
      <c r="Q35" s="360"/>
      <c r="R35" s="254"/>
      <c r="S35" s="360"/>
      <c r="T35" s="254"/>
      <c r="U35" s="360"/>
      <c r="V35" s="254"/>
      <c r="W35" s="360"/>
      <c r="X35" s="254"/>
      <c r="Y35" s="360"/>
      <c r="Z35" s="254"/>
      <c r="AA35" s="360"/>
      <c r="AB35" s="360"/>
      <c r="AC35" s="360"/>
      <c r="AD35" s="254"/>
      <c r="AE35" s="244"/>
      <c r="AF35" s="493"/>
      <c r="AG35" s="1678"/>
      <c r="AH35" s="248"/>
      <c r="AI35" s="2922"/>
      <c r="AJ35" s="265"/>
      <c r="AK35" s="615"/>
      <c r="AL35" s="245"/>
      <c r="AM35" s="613"/>
      <c r="AN35" s="2310"/>
      <c r="AO35" s="607"/>
    </row>
    <row r="36" spans="1:44" ht="15.75">
      <c r="A36" s="218"/>
      <c r="B36" s="1541" t="s">
        <v>1253</v>
      </c>
      <c r="C36" s="218"/>
      <c r="D36" s="218"/>
      <c r="E36" s="1117"/>
      <c r="F36" s="2502"/>
      <c r="G36" s="1117"/>
      <c r="H36" s="2502"/>
      <c r="I36" s="1117"/>
      <c r="J36" s="2502"/>
      <c r="K36" s="1117"/>
      <c r="L36" s="254"/>
      <c r="M36" s="360"/>
      <c r="N36" s="254"/>
      <c r="O36" s="360"/>
      <c r="P36" s="254"/>
      <c r="Q36" s="360"/>
      <c r="R36" s="254"/>
      <c r="S36" s="360"/>
      <c r="T36" s="254"/>
      <c r="U36" s="360"/>
      <c r="V36" s="254"/>
      <c r="W36" s="360"/>
      <c r="X36" s="254"/>
      <c r="Y36" s="360"/>
      <c r="Z36" s="254"/>
      <c r="AA36" s="360"/>
      <c r="AB36" s="360"/>
      <c r="AC36" s="360"/>
      <c r="AD36" s="254"/>
      <c r="AE36" s="244"/>
      <c r="AF36" s="493"/>
      <c r="AG36" s="1678"/>
      <c r="AH36" s="248"/>
      <c r="AI36" s="2922"/>
      <c r="AJ36" s="265"/>
      <c r="AK36" s="615"/>
      <c r="AL36" s="245"/>
      <c r="AM36" s="613"/>
      <c r="AN36" s="2310"/>
      <c r="AO36" s="607"/>
    </row>
    <row r="37" spans="1:44" ht="15.75">
      <c r="A37" s="218"/>
      <c r="B37" s="1541" t="s">
        <v>1162</v>
      </c>
      <c r="C37" s="218"/>
      <c r="D37" s="218"/>
      <c r="E37" s="1117">
        <f>+'Exhibit I State'!E36+'Exhibit I Federal'!E19</f>
        <v>0</v>
      </c>
      <c r="F37" s="2502"/>
      <c r="G37" s="1117"/>
      <c r="H37" s="2502"/>
      <c r="I37" s="1117"/>
      <c r="J37" s="2502"/>
      <c r="K37" s="1117"/>
      <c r="L37" s="254"/>
      <c r="M37" s="1117"/>
      <c r="N37" s="254"/>
      <c r="O37" s="1117"/>
      <c r="P37" s="254"/>
      <c r="Q37" s="1117"/>
      <c r="R37" s="254"/>
      <c r="S37" s="1117"/>
      <c r="T37" s="254"/>
      <c r="U37" s="1117"/>
      <c r="V37" s="254"/>
      <c r="W37" s="1117"/>
      <c r="X37" s="254"/>
      <c r="Y37" s="1117"/>
      <c r="Z37" s="254"/>
      <c r="AA37" s="1117"/>
      <c r="AB37" s="360"/>
      <c r="AC37" s="360">
        <v>0</v>
      </c>
      <c r="AD37" s="254"/>
      <c r="AE37" s="244"/>
      <c r="AF37" s="493">
        <f>ROUND(SUM(E37:AC37),1)</f>
        <v>0</v>
      </c>
      <c r="AG37" s="1678"/>
      <c r="AH37" s="248"/>
      <c r="AI37" s="2922">
        <f>+'Exhibit I State'!AG36+'Exhibit I Federal'!AG19</f>
        <v>0</v>
      </c>
      <c r="AJ37" s="265"/>
      <c r="AK37" s="615"/>
      <c r="AL37" s="245">
        <f t="shared" ref="AL37:AL60" si="0">ROUND(SUM(+AF37-AI37),1)</f>
        <v>0</v>
      </c>
      <c r="AM37" s="613"/>
      <c r="AN37" s="2310">
        <f>ROUND(IF(AI37=0,0,AL37/ABS(AI37)),3)</f>
        <v>0</v>
      </c>
      <c r="AO37" s="607"/>
    </row>
    <row r="38" spans="1:44" ht="15.75">
      <c r="A38" s="218"/>
      <c r="B38" s="1541" t="s">
        <v>1254</v>
      </c>
      <c r="C38" s="218"/>
      <c r="D38" s="218"/>
      <c r="E38" s="1117"/>
      <c r="F38" s="2502"/>
      <c r="G38" s="1117"/>
      <c r="H38" s="2502"/>
      <c r="I38" s="1117"/>
      <c r="J38" s="2502"/>
      <c r="K38" s="1117"/>
      <c r="L38" s="254"/>
      <c r="M38" s="1117"/>
      <c r="N38" s="254"/>
      <c r="O38" s="1117"/>
      <c r="P38" s="254"/>
      <c r="Q38" s="1117"/>
      <c r="R38" s="254"/>
      <c r="S38" s="1117"/>
      <c r="T38" s="254"/>
      <c r="U38" s="1117"/>
      <c r="V38" s="254"/>
      <c r="W38" s="1117"/>
      <c r="X38" s="254"/>
      <c r="Y38" s="1117"/>
      <c r="Z38" s="254"/>
      <c r="AA38" s="1117"/>
      <c r="AB38" s="360"/>
      <c r="AC38" s="360"/>
      <c r="AD38" s="254"/>
      <c r="AE38" s="244"/>
      <c r="AF38" s="493"/>
      <c r="AG38" s="1678"/>
      <c r="AH38" s="248"/>
      <c r="AI38" s="2922"/>
      <c r="AJ38" s="265"/>
      <c r="AK38" s="615"/>
      <c r="AL38" s="245"/>
      <c r="AM38" s="613"/>
      <c r="AN38" s="2310"/>
      <c r="AO38" s="607"/>
    </row>
    <row r="39" spans="1:44" ht="15.75">
      <c r="A39" s="218"/>
      <c r="B39" s="1541" t="s">
        <v>1163</v>
      </c>
      <c r="C39" s="218"/>
      <c r="D39" s="218"/>
      <c r="E39" s="1117">
        <f>+'Exhibit I State'!E38+'Exhibit I Federal'!E21</f>
        <v>15.7</v>
      </c>
      <c r="F39" s="2502"/>
      <c r="G39" s="1117"/>
      <c r="H39" s="2502"/>
      <c r="I39" s="1117"/>
      <c r="J39" s="2502"/>
      <c r="K39" s="1117"/>
      <c r="L39" s="254"/>
      <c r="M39" s="1117"/>
      <c r="N39" s="254"/>
      <c r="O39" s="1117"/>
      <c r="P39" s="254"/>
      <c r="Q39" s="1117"/>
      <c r="R39" s="254"/>
      <c r="S39" s="1117"/>
      <c r="T39" s="254"/>
      <c r="U39" s="1117"/>
      <c r="V39" s="254"/>
      <c r="W39" s="1117"/>
      <c r="X39" s="254"/>
      <c r="Y39" s="1117"/>
      <c r="Z39" s="254"/>
      <c r="AA39" s="1117"/>
      <c r="AB39" s="360"/>
      <c r="AC39" s="360">
        <v>0</v>
      </c>
      <c r="AD39" s="254"/>
      <c r="AE39" s="244"/>
      <c r="AF39" s="493">
        <f>ROUND(SUM(E39:AC39),1)</f>
        <v>15.7</v>
      </c>
      <c r="AG39" s="1678"/>
      <c r="AH39" s="248"/>
      <c r="AI39" s="2922">
        <f>+'Exhibit I State'!AG38+'Exhibit I Federal'!AG21</f>
        <v>15.5</v>
      </c>
      <c r="AJ39" s="265"/>
      <c r="AK39" s="615"/>
      <c r="AL39" s="245">
        <f t="shared" si="0"/>
        <v>0.2</v>
      </c>
      <c r="AM39" s="613"/>
      <c r="AN39" s="2310">
        <f>ROUND(IF(AI39=0,0,AL39/ABS(AI39)),3)</f>
        <v>1.2999999999999999E-2</v>
      </c>
      <c r="AO39" s="607"/>
    </row>
    <row r="40" spans="1:44" ht="15.75">
      <c r="A40" s="218"/>
      <c r="B40" s="1541" t="s">
        <v>1259</v>
      </c>
      <c r="C40" s="218"/>
      <c r="D40" s="218"/>
      <c r="E40" s="1117"/>
      <c r="F40" s="2502"/>
      <c r="G40" s="1117"/>
      <c r="H40" s="2502"/>
      <c r="I40" s="1117"/>
      <c r="J40" s="2502"/>
      <c r="K40" s="1117"/>
      <c r="L40" s="254"/>
      <c r="M40" s="1117"/>
      <c r="N40" s="254"/>
      <c r="O40" s="1117"/>
      <c r="P40" s="254"/>
      <c r="Q40" s="1117"/>
      <c r="R40" s="254"/>
      <c r="S40" s="1117"/>
      <c r="T40" s="254"/>
      <c r="U40" s="1117"/>
      <c r="V40" s="254"/>
      <c r="W40" s="1117"/>
      <c r="X40" s="254"/>
      <c r="Y40" s="1117"/>
      <c r="Z40" s="254"/>
      <c r="AA40" s="1117"/>
      <c r="AB40" s="360"/>
      <c r="AC40" s="360"/>
      <c r="AD40" s="254"/>
      <c r="AE40" s="244"/>
      <c r="AF40" s="493"/>
      <c r="AG40" s="1678"/>
      <c r="AH40" s="248"/>
      <c r="AI40" s="2922"/>
      <c r="AJ40" s="265"/>
      <c r="AK40" s="615"/>
      <c r="AL40" s="245"/>
      <c r="AM40" s="613"/>
      <c r="AN40" s="2310"/>
      <c r="AO40" s="607"/>
    </row>
    <row r="41" spans="1:44" ht="15.75">
      <c r="A41" s="218"/>
      <c r="B41" s="1541" t="s">
        <v>1167</v>
      </c>
      <c r="C41" s="218"/>
      <c r="D41" s="218"/>
      <c r="E41" s="1117">
        <f>+'Exhibit I State'!E40+'Exhibit I Federal'!E23</f>
        <v>3.5</v>
      </c>
      <c r="F41" s="2502"/>
      <c r="G41" s="1117"/>
      <c r="H41" s="2502"/>
      <c r="I41" s="1117"/>
      <c r="J41" s="2502"/>
      <c r="K41" s="1117"/>
      <c r="L41" s="254"/>
      <c r="M41" s="1117"/>
      <c r="N41" s="254"/>
      <c r="O41" s="1117"/>
      <c r="P41" s="254"/>
      <c r="Q41" s="1117"/>
      <c r="R41" s="254"/>
      <c r="S41" s="1117"/>
      <c r="T41" s="254"/>
      <c r="U41" s="1117"/>
      <c r="V41" s="254"/>
      <c r="W41" s="1117"/>
      <c r="X41" s="254"/>
      <c r="Y41" s="1117"/>
      <c r="Z41" s="254"/>
      <c r="AA41" s="1117"/>
      <c r="AB41" s="360"/>
      <c r="AC41" s="360">
        <v>0</v>
      </c>
      <c r="AD41" s="254"/>
      <c r="AE41" s="244"/>
      <c r="AF41" s="493">
        <f t="shared" ref="AF41:AF46" si="1">ROUND(SUM(E41:AC41),1)</f>
        <v>3.5</v>
      </c>
      <c r="AG41" s="1678"/>
      <c r="AH41" s="248"/>
      <c r="AI41" s="2922">
        <f>+'Exhibit I State'!AG40+'Exhibit I Federal'!AG23</f>
        <v>1.6</v>
      </c>
      <c r="AJ41" s="265"/>
      <c r="AK41" s="615"/>
      <c r="AL41" s="245">
        <f t="shared" si="0"/>
        <v>1.9</v>
      </c>
      <c r="AM41" s="613"/>
      <c r="AN41" s="2310">
        <f>ROUND(IF(AI41=0,0,AL41/ABS(AI41)),3)</f>
        <v>1.1879999999999999</v>
      </c>
      <c r="AO41" s="607"/>
    </row>
    <row r="42" spans="1:44" ht="15.75">
      <c r="A42" s="218"/>
      <c r="B42" s="1541" t="s">
        <v>1324</v>
      </c>
      <c r="C42" s="218"/>
      <c r="D42" s="218"/>
      <c r="E42" s="1117">
        <f>+'Exhibit I State'!E41+'Exhibit I Federal'!E24</f>
        <v>0</v>
      </c>
      <c r="F42" s="2502"/>
      <c r="G42" s="1117"/>
      <c r="H42" s="2502"/>
      <c r="I42" s="1117"/>
      <c r="J42" s="2502"/>
      <c r="K42" s="1117"/>
      <c r="L42" s="254"/>
      <c r="M42" s="1117"/>
      <c r="N42" s="254"/>
      <c r="O42" s="1117"/>
      <c r="P42" s="254"/>
      <c r="Q42" s="1117"/>
      <c r="R42" s="254"/>
      <c r="S42" s="1117"/>
      <c r="T42" s="254"/>
      <c r="U42" s="1117"/>
      <c r="V42" s="254"/>
      <c r="W42" s="1117"/>
      <c r="X42" s="254"/>
      <c r="Y42" s="1117"/>
      <c r="Z42" s="254"/>
      <c r="AA42" s="1117"/>
      <c r="AB42" s="360"/>
      <c r="AC42" s="360">
        <v>0</v>
      </c>
      <c r="AD42" s="254"/>
      <c r="AE42" s="244"/>
      <c r="AF42" s="493">
        <f t="shared" si="1"/>
        <v>0</v>
      </c>
      <c r="AG42" s="2375"/>
      <c r="AH42" s="248"/>
      <c r="AI42" s="2922">
        <f>+'Exhibit I State'!AG41+'Exhibit I Federal'!AG24</f>
        <v>0</v>
      </c>
      <c r="AJ42" s="265"/>
      <c r="AK42" s="615"/>
      <c r="AL42" s="245">
        <f>ROUND(SUM(+AF42-AI42),1)</f>
        <v>0</v>
      </c>
      <c r="AM42" s="613"/>
      <c r="AN42" s="2310">
        <f>ROUND(IF(AI42=0,0,AL42/ABS(AI42)),3)</f>
        <v>0</v>
      </c>
      <c r="AO42" s="607"/>
    </row>
    <row r="43" spans="1:44" ht="15.75">
      <c r="A43" s="218"/>
      <c r="B43" s="1541" t="s">
        <v>1170</v>
      </c>
      <c r="C43" s="218"/>
      <c r="D43" s="218"/>
      <c r="E43" s="1117">
        <f>+'Exhibit I State'!E42+'Exhibit I Federal'!E25</f>
        <v>66.2</v>
      </c>
      <c r="F43" s="2502"/>
      <c r="G43" s="1117"/>
      <c r="H43" s="2502"/>
      <c r="I43" s="1117"/>
      <c r="J43" s="2502"/>
      <c r="K43" s="1117"/>
      <c r="L43" s="254"/>
      <c r="M43" s="1117"/>
      <c r="N43" s="254"/>
      <c r="O43" s="1117"/>
      <c r="P43" s="254"/>
      <c r="Q43" s="1117"/>
      <c r="R43" s="254"/>
      <c r="S43" s="1117"/>
      <c r="T43" s="254"/>
      <c r="U43" s="1117"/>
      <c r="V43" s="254"/>
      <c r="W43" s="1117"/>
      <c r="X43" s="254"/>
      <c r="Y43" s="1117"/>
      <c r="Z43" s="254"/>
      <c r="AA43" s="1117"/>
      <c r="AB43" s="360"/>
      <c r="AC43" s="360">
        <v>0</v>
      </c>
      <c r="AD43" s="254"/>
      <c r="AE43" s="244"/>
      <c r="AF43" s="493">
        <f t="shared" si="1"/>
        <v>66.2</v>
      </c>
      <c r="AG43" s="1678"/>
      <c r="AH43" s="248"/>
      <c r="AI43" s="2922">
        <f>+'Exhibit I State'!AG42+'Exhibit I Federal'!AG25</f>
        <v>69.3</v>
      </c>
      <c r="AJ43" s="265"/>
      <c r="AK43" s="615"/>
      <c r="AL43" s="245">
        <f t="shared" si="0"/>
        <v>-3.1</v>
      </c>
      <c r="AM43" s="613"/>
      <c r="AN43" s="2310">
        <f>ROUND(IF(AI43=0,0,AL43/ABS(AI43)),3)</f>
        <v>-4.4999999999999998E-2</v>
      </c>
      <c r="AO43" s="607"/>
    </row>
    <row r="44" spans="1:44" ht="15.75">
      <c r="A44" s="218"/>
      <c r="B44" s="1541" t="s">
        <v>1171</v>
      </c>
      <c r="C44" s="218"/>
      <c r="D44" s="218"/>
      <c r="E44" s="1117">
        <f>+'Exhibit I State'!E43+'Exhibit I Federal'!E26</f>
        <v>0.1</v>
      </c>
      <c r="F44" s="2502"/>
      <c r="G44" s="1117"/>
      <c r="H44" s="2502"/>
      <c r="I44" s="1117"/>
      <c r="J44" s="2502"/>
      <c r="K44" s="1117"/>
      <c r="L44" s="254"/>
      <c r="M44" s="1117"/>
      <c r="N44" s="254"/>
      <c r="O44" s="1117"/>
      <c r="P44" s="254"/>
      <c r="Q44" s="1117"/>
      <c r="R44" s="254"/>
      <c r="S44" s="1117"/>
      <c r="T44" s="254"/>
      <c r="U44" s="1117"/>
      <c r="V44" s="254"/>
      <c r="W44" s="1117"/>
      <c r="X44" s="254"/>
      <c r="Y44" s="1117"/>
      <c r="Z44" s="254"/>
      <c r="AA44" s="1117"/>
      <c r="AB44" s="360"/>
      <c r="AC44" s="360">
        <v>0</v>
      </c>
      <c r="AD44" s="254"/>
      <c r="AE44" s="244"/>
      <c r="AF44" s="493">
        <f t="shared" si="1"/>
        <v>0.1</v>
      </c>
      <c r="AG44" s="1678"/>
      <c r="AH44" s="248"/>
      <c r="AI44" s="2923">
        <f>+'Exhibit I State'!AG43+'Exhibit I Federal'!AG26</f>
        <v>0.1</v>
      </c>
      <c r="AJ44" s="265"/>
      <c r="AK44" s="615"/>
      <c r="AL44" s="1131">
        <f>ROUND(SUM(+AF44-AI44),1)</f>
        <v>0</v>
      </c>
      <c r="AM44" s="1608"/>
      <c r="AN44" s="2310">
        <f>ROUND(IF(AI44=0,1,AL44/ABS(AI44)),3)</f>
        <v>0</v>
      </c>
      <c r="AO44" s="607"/>
    </row>
    <row r="45" spans="1:44" ht="15.75">
      <c r="A45" s="218"/>
      <c r="B45" s="1541" t="s">
        <v>1129</v>
      </c>
      <c r="C45" s="218"/>
      <c r="D45" s="218"/>
      <c r="E45" s="1117">
        <f>+'Exhibit I State'!E44+'Exhibit I Federal'!E27</f>
        <v>2.4</v>
      </c>
      <c r="F45" s="2502"/>
      <c r="G45" s="1117"/>
      <c r="H45" s="2502"/>
      <c r="I45" s="1117"/>
      <c r="J45" s="2502"/>
      <c r="K45" s="1117"/>
      <c r="L45" s="254"/>
      <c r="M45" s="1117"/>
      <c r="N45" s="254"/>
      <c r="O45" s="1117"/>
      <c r="P45" s="254"/>
      <c r="Q45" s="1117"/>
      <c r="R45" s="254"/>
      <c r="S45" s="1117"/>
      <c r="T45" s="254"/>
      <c r="U45" s="1117"/>
      <c r="V45" s="254"/>
      <c r="W45" s="1117"/>
      <c r="X45" s="254"/>
      <c r="Y45" s="1117"/>
      <c r="Z45" s="254"/>
      <c r="AA45" s="1117"/>
      <c r="AB45" s="360"/>
      <c r="AC45" s="360">
        <v>0</v>
      </c>
      <c r="AD45" s="254"/>
      <c r="AE45" s="244"/>
      <c r="AF45" s="493">
        <f t="shared" si="1"/>
        <v>2.4</v>
      </c>
      <c r="AG45" s="1678"/>
      <c r="AH45" s="248"/>
      <c r="AI45" s="2922">
        <f>+'Exhibit I State'!AG44+'Exhibit I Federal'!AG27</f>
        <v>1.9</v>
      </c>
      <c r="AJ45" s="265"/>
      <c r="AK45" s="615"/>
      <c r="AL45" s="245">
        <f t="shared" si="0"/>
        <v>0.5</v>
      </c>
      <c r="AM45" s="613"/>
      <c r="AN45" s="2372">
        <f>ROUND(IF(AI45=0,1,AL45/ABS(AI45)),3)</f>
        <v>0.26300000000000001</v>
      </c>
      <c r="AO45" s="607"/>
    </row>
    <row r="46" spans="1:44" ht="15.75">
      <c r="A46" s="218"/>
      <c r="B46" s="1541" t="s">
        <v>1130</v>
      </c>
      <c r="C46" s="218"/>
      <c r="D46" s="218"/>
      <c r="E46" s="1117">
        <f>+'Exhibit I State'!E45+'Exhibit I Federal'!E28</f>
        <v>0.7</v>
      </c>
      <c r="F46" s="2502"/>
      <c r="G46" s="1117"/>
      <c r="H46" s="2502"/>
      <c r="I46" s="1117"/>
      <c r="J46" s="2502"/>
      <c r="K46" s="1117"/>
      <c r="L46" s="254"/>
      <c r="M46" s="1117"/>
      <c r="N46" s="254"/>
      <c r="O46" s="1117"/>
      <c r="P46" s="254"/>
      <c r="Q46" s="1117"/>
      <c r="R46" s="254"/>
      <c r="S46" s="1117"/>
      <c r="T46" s="254"/>
      <c r="U46" s="1117"/>
      <c r="V46" s="254"/>
      <c r="W46" s="1117"/>
      <c r="X46" s="254"/>
      <c r="Y46" s="1117"/>
      <c r="Z46" s="254"/>
      <c r="AA46" s="1117"/>
      <c r="AB46" s="360"/>
      <c r="AC46" s="360">
        <v>0</v>
      </c>
      <c r="AD46" s="254"/>
      <c r="AE46" s="244"/>
      <c r="AF46" s="493">
        <f t="shared" si="1"/>
        <v>0.7</v>
      </c>
      <c r="AG46" s="1678"/>
      <c r="AH46" s="248"/>
      <c r="AI46" s="2922">
        <f>+'Exhibit I State'!AG45+'Exhibit I Federal'!AG28</f>
        <v>0.4</v>
      </c>
      <c r="AJ46" s="265"/>
      <c r="AK46" s="615"/>
      <c r="AL46" s="245">
        <f>ROUND(SUM(+AF46-AI46),1)</f>
        <v>0.3</v>
      </c>
      <c r="AM46" s="613"/>
      <c r="AN46" s="2310">
        <f>ROUND(IF(AI46=0,1,AL46/ABS(AI46)),3)</f>
        <v>0.75</v>
      </c>
      <c r="AO46" s="607"/>
    </row>
    <row r="47" spans="1:44" ht="15.75">
      <c r="A47" s="218"/>
      <c r="B47" s="1541" t="s">
        <v>1257</v>
      </c>
      <c r="C47" s="218"/>
      <c r="D47" s="218"/>
      <c r="E47" s="1117"/>
      <c r="F47" s="2502"/>
      <c r="G47" s="1117"/>
      <c r="H47" s="2502"/>
      <c r="I47" s="1117"/>
      <c r="J47" s="2502"/>
      <c r="K47" s="1117"/>
      <c r="L47" s="254"/>
      <c r="M47" s="1117"/>
      <c r="N47" s="254"/>
      <c r="O47" s="1117"/>
      <c r="P47" s="254"/>
      <c r="Q47" s="1117"/>
      <c r="R47" s="254"/>
      <c r="S47" s="1117"/>
      <c r="T47" s="254"/>
      <c r="U47" s="1117"/>
      <c r="V47" s="254"/>
      <c r="W47" s="1117"/>
      <c r="X47" s="254"/>
      <c r="Y47" s="1117"/>
      <c r="Z47" s="254"/>
      <c r="AA47" s="1117"/>
      <c r="AB47" s="360"/>
      <c r="AC47" s="360"/>
      <c r="AD47" s="254"/>
      <c r="AE47" s="244"/>
      <c r="AF47" s="493"/>
      <c r="AG47" s="1678"/>
      <c r="AH47" s="248"/>
      <c r="AI47" s="2922"/>
      <c r="AJ47" s="265"/>
      <c r="AK47" s="615"/>
      <c r="AL47" s="245"/>
      <c r="AM47" s="613"/>
      <c r="AN47" s="45"/>
      <c r="AO47" s="607"/>
    </row>
    <row r="48" spans="1:44" ht="15.75">
      <c r="A48" s="218"/>
      <c r="B48" s="1541" t="s">
        <v>1175</v>
      </c>
      <c r="C48" s="218"/>
      <c r="D48" s="218"/>
      <c r="E48" s="1117">
        <f>+'Exhibit I State'!E47+'Exhibit I Federal'!E30</f>
        <v>315.8</v>
      </c>
      <c r="F48" s="2502"/>
      <c r="G48" s="1117"/>
      <c r="H48" s="2502"/>
      <c r="I48" s="1117"/>
      <c r="J48" s="2502"/>
      <c r="K48" s="1117"/>
      <c r="L48" s="254"/>
      <c r="M48" s="1117"/>
      <c r="N48" s="254"/>
      <c r="O48" s="1117"/>
      <c r="P48" s="254"/>
      <c r="Q48" s="1117"/>
      <c r="R48" s="254"/>
      <c r="S48" s="1117"/>
      <c r="T48" s="254"/>
      <c r="U48" s="1117"/>
      <c r="V48" s="254"/>
      <c r="W48" s="1117"/>
      <c r="X48" s="254"/>
      <c r="Y48" s="1117"/>
      <c r="Z48" s="254"/>
      <c r="AA48" s="1117"/>
      <c r="AB48" s="360"/>
      <c r="AC48" s="360">
        <v>0</v>
      </c>
      <c r="AD48" s="254"/>
      <c r="AE48" s="244"/>
      <c r="AF48" s="493">
        <f>ROUND(SUM(E48:AC48),1)</f>
        <v>315.8</v>
      </c>
      <c r="AG48" s="1678"/>
      <c r="AH48" s="248"/>
      <c r="AI48" s="2922">
        <f>+'Exhibit I State'!AG47+'Exhibit I Federal'!AG30</f>
        <v>0</v>
      </c>
      <c r="AJ48" s="265"/>
      <c r="AK48" s="615"/>
      <c r="AL48" s="245">
        <f t="shared" si="0"/>
        <v>315.8</v>
      </c>
      <c r="AM48" s="613"/>
      <c r="AN48" s="2310">
        <f>ROUND(IF(AI48=0,1,AL48/ABS(AI48)),3)</f>
        <v>1</v>
      </c>
      <c r="AO48" s="607"/>
    </row>
    <row r="49" spans="1:41" ht="15.75">
      <c r="A49" s="218"/>
      <c r="B49" s="1541" t="s">
        <v>1177</v>
      </c>
      <c r="C49" s="218"/>
      <c r="D49" s="218"/>
      <c r="E49" s="1117">
        <f>+'Exhibit I State'!E48+'Exhibit I Federal'!E31</f>
        <v>0</v>
      </c>
      <c r="F49" s="1117">
        <v>0</v>
      </c>
      <c r="G49" s="1117"/>
      <c r="H49" s="1117"/>
      <c r="I49" s="1117"/>
      <c r="J49" s="1117"/>
      <c r="K49" s="1117"/>
      <c r="L49" s="360"/>
      <c r="M49" s="1117"/>
      <c r="N49" s="360"/>
      <c r="O49" s="1117"/>
      <c r="P49" s="360"/>
      <c r="Q49" s="1117"/>
      <c r="R49" s="254"/>
      <c r="S49" s="1117"/>
      <c r="T49" s="254"/>
      <c r="U49" s="1117"/>
      <c r="V49" s="254"/>
      <c r="W49" s="1117"/>
      <c r="X49" s="254"/>
      <c r="Y49" s="1117"/>
      <c r="Z49" s="254"/>
      <c r="AA49" s="1117"/>
      <c r="AB49" s="360"/>
      <c r="AC49" s="360">
        <v>0</v>
      </c>
      <c r="AD49" s="254"/>
      <c r="AE49" s="244"/>
      <c r="AF49" s="493">
        <f>ROUND(SUM(E49:AC49),1)</f>
        <v>0</v>
      </c>
      <c r="AG49" s="2375"/>
      <c r="AH49" s="248"/>
      <c r="AI49" s="2922">
        <f>+'Exhibit I State'!AG48+'Exhibit I Federal'!AG31</f>
        <v>0</v>
      </c>
      <c r="AJ49" s="265"/>
      <c r="AK49" s="615"/>
      <c r="AL49" s="245">
        <f t="shared" si="0"/>
        <v>0</v>
      </c>
      <c r="AM49" s="613"/>
      <c r="AN49" s="2310">
        <f>ROUND(IF(AI49=0,0,AL49/ABS(AI49)),3)</f>
        <v>0</v>
      </c>
      <c r="AO49" s="607"/>
    </row>
    <row r="50" spans="1:41" ht="15.75">
      <c r="A50" s="218"/>
      <c r="B50" s="1541" t="s">
        <v>1178</v>
      </c>
      <c r="C50" s="218"/>
      <c r="D50" s="218"/>
      <c r="E50" s="1117">
        <f>+'Exhibit I State'!E49+'Exhibit I Federal'!E32</f>
        <v>0.5</v>
      </c>
      <c r="F50" s="2502"/>
      <c r="G50" s="1117"/>
      <c r="H50" s="2502"/>
      <c r="I50" s="1117"/>
      <c r="J50" s="2502"/>
      <c r="K50" s="1117"/>
      <c r="L50" s="254"/>
      <c r="M50" s="1117"/>
      <c r="N50" s="254"/>
      <c r="O50" s="1117"/>
      <c r="P50" s="254"/>
      <c r="Q50" s="1117"/>
      <c r="R50" s="254"/>
      <c r="S50" s="1117"/>
      <c r="T50" s="254"/>
      <c r="U50" s="1117"/>
      <c r="V50" s="254"/>
      <c r="W50" s="1117"/>
      <c r="X50" s="254"/>
      <c r="Y50" s="1117"/>
      <c r="Z50" s="254"/>
      <c r="AA50" s="1117"/>
      <c r="AB50" s="360"/>
      <c r="AC50" s="360">
        <v>0</v>
      </c>
      <c r="AD50" s="254"/>
      <c r="AE50" s="244"/>
      <c r="AF50" s="493">
        <f>ROUND(SUM(E50:AC50),1)</f>
        <v>0.5</v>
      </c>
      <c r="AG50" s="1678"/>
      <c r="AH50" s="248"/>
      <c r="AI50" s="2922">
        <f>+'Exhibit I State'!AG49+'Exhibit I Federal'!AG32</f>
        <v>0.9</v>
      </c>
      <c r="AJ50" s="265"/>
      <c r="AK50" s="615"/>
      <c r="AL50" s="245">
        <f t="shared" si="0"/>
        <v>-0.4</v>
      </c>
      <c r="AM50" s="613"/>
      <c r="AN50" s="2587">
        <f>ROUND(IF(AI50=0,1,AL50/ABS(AI50)),3)</f>
        <v>-0.44400000000000001</v>
      </c>
      <c r="AO50" s="607"/>
    </row>
    <row r="51" spans="1:41" ht="15.75">
      <c r="A51" s="218"/>
      <c r="B51" s="1541" t="s">
        <v>1148</v>
      </c>
      <c r="C51" s="218"/>
      <c r="D51" s="218"/>
      <c r="E51" s="1117">
        <f>+'Exhibit I State'!E50+'Exhibit I Federal'!E33</f>
        <v>0.2</v>
      </c>
      <c r="F51" s="2502"/>
      <c r="G51" s="1117"/>
      <c r="H51" s="2502"/>
      <c r="I51" s="1117"/>
      <c r="J51" s="2502"/>
      <c r="K51" s="1117"/>
      <c r="L51" s="254"/>
      <c r="M51" s="1117"/>
      <c r="N51" s="254"/>
      <c r="O51" s="1117"/>
      <c r="P51" s="254"/>
      <c r="Q51" s="1117"/>
      <c r="R51" s="254"/>
      <c r="S51" s="1117"/>
      <c r="T51" s="254"/>
      <c r="U51" s="1117"/>
      <c r="V51" s="254"/>
      <c r="W51" s="1117"/>
      <c r="X51" s="254"/>
      <c r="Y51" s="1117"/>
      <c r="Z51" s="254"/>
      <c r="AA51" s="1117"/>
      <c r="AB51" s="360"/>
      <c r="AC51" s="360">
        <v>0</v>
      </c>
      <c r="AD51" s="254"/>
      <c r="AE51" s="244"/>
      <c r="AF51" s="493">
        <f>ROUND(SUM(E51:AC51),1)</f>
        <v>0.2</v>
      </c>
      <c r="AG51" s="1678"/>
      <c r="AH51" s="248"/>
      <c r="AI51" s="2922">
        <f>+'Exhibit I State'!AG50+'Exhibit I Federal'!AG33</f>
        <v>0.2</v>
      </c>
      <c r="AJ51" s="265"/>
      <c r="AK51" s="615"/>
      <c r="AL51" s="245">
        <f t="shared" si="0"/>
        <v>0</v>
      </c>
      <c r="AM51" s="613"/>
      <c r="AN51" s="45">
        <f>ROUND(IF(AI51=0,0,AL51/ABS(AI51)),3)</f>
        <v>0</v>
      </c>
      <c r="AO51" s="607"/>
    </row>
    <row r="52" spans="1:41" ht="15.75">
      <c r="A52" s="218"/>
      <c r="B52" s="1541" t="s">
        <v>1149</v>
      </c>
      <c r="C52" s="218"/>
      <c r="D52" s="218"/>
      <c r="E52" s="1117">
        <f>+'Exhibit I State'!E51+'Exhibit I Federal'!E34</f>
        <v>0.6</v>
      </c>
      <c r="F52" s="2502"/>
      <c r="G52" s="1117"/>
      <c r="H52" s="2502"/>
      <c r="I52" s="1117"/>
      <c r="J52" s="2502"/>
      <c r="K52" s="1117"/>
      <c r="L52" s="254"/>
      <c r="M52" s="1117"/>
      <c r="N52" s="254"/>
      <c r="O52" s="1117"/>
      <c r="P52" s="254"/>
      <c r="Q52" s="1117"/>
      <c r="R52" s="254"/>
      <c r="S52" s="1117"/>
      <c r="T52" s="254"/>
      <c r="U52" s="1117"/>
      <c r="V52" s="254"/>
      <c r="W52" s="1117"/>
      <c r="X52" s="254"/>
      <c r="Y52" s="1117"/>
      <c r="Z52" s="254"/>
      <c r="AA52" s="1117"/>
      <c r="AB52" s="360"/>
      <c r="AC52" s="360">
        <v>0</v>
      </c>
      <c r="AD52" s="254"/>
      <c r="AE52" s="244"/>
      <c r="AF52" s="1813">
        <f>ROUND(SUM(E52:AC52),1)</f>
        <v>0.6</v>
      </c>
      <c r="AG52" s="1678"/>
      <c r="AH52" s="248"/>
      <c r="AI52" s="2924">
        <f>+'Exhibit I State'!AG51+'Exhibit I Federal'!AG34</f>
        <v>0.8</v>
      </c>
      <c r="AJ52" s="265"/>
      <c r="AK52" s="615"/>
      <c r="AL52" s="245">
        <f t="shared" si="0"/>
        <v>-0.2</v>
      </c>
      <c r="AM52" s="613"/>
      <c r="AN52" s="45">
        <f>ROUND(IF(AI52=0,0,AL52/ABS(AI52)),3)</f>
        <v>-0.25</v>
      </c>
      <c r="AO52" s="607"/>
    </row>
    <row r="53" spans="1:41" ht="15.75">
      <c r="A53" s="218"/>
      <c r="B53" s="1541" t="s">
        <v>1258</v>
      </c>
      <c r="C53" s="218"/>
      <c r="D53" s="218"/>
      <c r="E53" s="1117"/>
      <c r="F53" s="2502"/>
      <c r="G53" s="1117"/>
      <c r="H53" s="2502"/>
      <c r="I53" s="1117"/>
      <c r="J53" s="2502"/>
      <c r="K53" s="1117"/>
      <c r="L53" s="254"/>
      <c r="M53" s="1117"/>
      <c r="N53" s="254"/>
      <c r="O53" s="1117"/>
      <c r="P53" s="254"/>
      <c r="Q53" s="1117"/>
      <c r="R53" s="254"/>
      <c r="S53" s="1117"/>
      <c r="T53" s="254"/>
      <c r="U53" s="1117"/>
      <c r="V53" s="254"/>
      <c r="W53" s="1117"/>
      <c r="X53" s="254"/>
      <c r="Y53" s="1117"/>
      <c r="Z53" s="254"/>
      <c r="AA53" s="1117"/>
      <c r="AB53" s="360"/>
      <c r="AC53" s="1117" t="s">
        <v>15</v>
      </c>
      <c r="AD53" s="254"/>
      <c r="AE53" s="244"/>
      <c r="AF53" s="493"/>
      <c r="AG53" s="1678"/>
      <c r="AH53" s="248"/>
      <c r="AI53" s="2922"/>
      <c r="AJ53" s="265"/>
      <c r="AK53" s="615"/>
      <c r="AL53" s="245"/>
      <c r="AM53" s="613"/>
      <c r="AN53" s="45"/>
      <c r="AO53" s="607"/>
    </row>
    <row r="54" spans="1:41" ht="15.75">
      <c r="A54" s="218"/>
      <c r="B54" s="1541" t="s">
        <v>1179</v>
      </c>
      <c r="C54" s="218"/>
      <c r="D54" s="218"/>
      <c r="E54" s="1117">
        <f>+'Exhibit I State'!E53+'Exhibit I Federal'!E36</f>
        <v>0</v>
      </c>
      <c r="F54" s="2502"/>
      <c r="G54" s="1117"/>
      <c r="H54" s="2502"/>
      <c r="I54" s="1117"/>
      <c r="J54" s="2502"/>
      <c r="K54" s="1117"/>
      <c r="L54" s="254"/>
      <c r="M54" s="1117"/>
      <c r="N54" s="254"/>
      <c r="O54" s="1117"/>
      <c r="P54" s="254"/>
      <c r="Q54" s="1117"/>
      <c r="R54" s="254"/>
      <c r="S54" s="1117"/>
      <c r="T54" s="254"/>
      <c r="U54" s="1117"/>
      <c r="V54" s="254"/>
      <c r="W54" s="1117"/>
      <c r="X54" s="254"/>
      <c r="Y54" s="1117"/>
      <c r="Z54" s="254"/>
      <c r="AA54" s="1117"/>
      <c r="AB54" s="360"/>
      <c r="AC54" s="645">
        <v>0</v>
      </c>
      <c r="AD54" s="307"/>
      <c r="AE54" s="1145"/>
      <c r="AF54" s="1813">
        <f t="shared" ref="AF54:AF59" si="2">ROUND(SUM(E54:AC54),1)</f>
        <v>0</v>
      </c>
      <c r="AG54" s="1854"/>
      <c r="AH54" s="256"/>
      <c r="AI54" s="2922">
        <f>+'Exhibit I State'!AG53+'Exhibit I Federal'!AG36</f>
        <v>0</v>
      </c>
      <c r="AJ54" s="265"/>
      <c r="AK54" s="615"/>
      <c r="AL54" s="1131">
        <f>ROUND(SUM(+AF54-AI54),1)</f>
        <v>0</v>
      </c>
      <c r="AM54" s="1608"/>
      <c r="AN54" s="2310">
        <f>ROUND(IF(AI54=0,0,AL54/ABS(AI54)),3)</f>
        <v>0</v>
      </c>
      <c r="AO54" s="607"/>
    </row>
    <row r="55" spans="1:41" ht="15.75">
      <c r="A55" s="218"/>
      <c r="B55" s="1541" t="s">
        <v>1181</v>
      </c>
      <c r="C55" s="218"/>
      <c r="D55" s="218"/>
      <c r="E55" s="1117">
        <f>+'Exhibit I State'!E54+'Exhibit I Federal'!E37</f>
        <v>0</v>
      </c>
      <c r="F55" s="2502"/>
      <c r="G55" s="1117"/>
      <c r="H55" s="2502"/>
      <c r="I55" s="1117"/>
      <c r="J55" s="2502"/>
      <c r="K55" s="1117"/>
      <c r="L55" s="254"/>
      <c r="M55" s="1117"/>
      <c r="N55" s="254"/>
      <c r="O55" s="1117"/>
      <c r="P55" s="254"/>
      <c r="Q55" s="1117"/>
      <c r="R55" s="254"/>
      <c r="S55" s="1117"/>
      <c r="T55" s="254"/>
      <c r="U55" s="1117"/>
      <c r="V55" s="254"/>
      <c r="W55" s="1117"/>
      <c r="X55" s="254"/>
      <c r="Y55" s="1117"/>
      <c r="Z55" s="254"/>
      <c r="AA55" s="1117"/>
      <c r="AB55" s="360"/>
      <c r="AC55" s="645">
        <v>0</v>
      </c>
      <c r="AD55" s="307"/>
      <c r="AE55" s="1145"/>
      <c r="AF55" s="1813">
        <f t="shared" si="2"/>
        <v>0</v>
      </c>
      <c r="AG55" s="1854"/>
      <c r="AH55" s="256"/>
      <c r="AI55" s="2922">
        <f>+'Exhibit I State'!AG54+'Exhibit I Federal'!AG37</f>
        <v>0.5</v>
      </c>
      <c r="AJ55" s="265"/>
      <c r="AK55" s="615"/>
      <c r="AL55" s="1131">
        <f>ROUND(SUM(+AF55-AI55),1)</f>
        <v>-0.5</v>
      </c>
      <c r="AM55" s="1608"/>
      <c r="AN55" s="2310">
        <f>ROUND(IF(AI55=0,1,AL55/ABS(AI55)),3)</f>
        <v>-1</v>
      </c>
      <c r="AO55" s="607"/>
    </row>
    <row r="56" spans="1:41" ht="15.75">
      <c r="A56" s="218"/>
      <c r="B56" s="1541" t="s">
        <v>1182</v>
      </c>
      <c r="C56" s="218"/>
      <c r="D56" s="218"/>
      <c r="E56" s="1117">
        <f>+'Exhibit I State'!E55+'Exhibit I Federal'!E38</f>
        <v>0</v>
      </c>
      <c r="F56" s="2502"/>
      <c r="G56" s="1117"/>
      <c r="H56" s="2502"/>
      <c r="I56" s="1117"/>
      <c r="J56" s="2502"/>
      <c r="K56" s="1117"/>
      <c r="L56" s="254"/>
      <c r="M56" s="1117"/>
      <c r="N56" s="254"/>
      <c r="O56" s="1117"/>
      <c r="P56" s="254"/>
      <c r="Q56" s="1117"/>
      <c r="R56" s="254"/>
      <c r="S56" s="1117"/>
      <c r="T56" s="254"/>
      <c r="U56" s="1117"/>
      <c r="V56" s="254"/>
      <c r="W56" s="1117"/>
      <c r="X56" s="254"/>
      <c r="Y56" s="1117"/>
      <c r="Z56" s="254"/>
      <c r="AA56" s="1117"/>
      <c r="AB56" s="360"/>
      <c r="AC56" s="645">
        <v>0</v>
      </c>
      <c r="AD56" s="307"/>
      <c r="AE56" s="1145"/>
      <c r="AF56" s="1813">
        <f t="shared" si="2"/>
        <v>0</v>
      </c>
      <c r="AG56" s="3605"/>
      <c r="AH56" s="256"/>
      <c r="AI56" s="2922">
        <f>+'Exhibit I State'!AG55+'Exhibit I Federal'!AG38</f>
        <v>0</v>
      </c>
      <c r="AJ56" s="265"/>
      <c r="AK56" s="615"/>
      <c r="AL56" s="1131">
        <f>ROUND(SUM(+AF56-AI56),1)</f>
        <v>0</v>
      </c>
      <c r="AM56" s="1608"/>
      <c r="AN56" s="2310">
        <f>ROUND(IF(AI56=0,0,AL56/ABS(AI56)),3)</f>
        <v>0</v>
      </c>
      <c r="AO56" s="607"/>
    </row>
    <row r="57" spans="1:41" ht="15.75">
      <c r="A57" s="218"/>
      <c r="B57" s="1541" t="s">
        <v>1184</v>
      </c>
      <c r="C57" s="218"/>
      <c r="D57" s="218"/>
      <c r="E57" s="1117">
        <f>+'Exhibit I State'!E56</f>
        <v>0</v>
      </c>
      <c r="F57" s="2502"/>
      <c r="G57" s="1117"/>
      <c r="H57" s="2502"/>
      <c r="I57" s="1117"/>
      <c r="J57" s="2502"/>
      <c r="K57" s="1117"/>
      <c r="L57" s="254"/>
      <c r="M57" s="1117"/>
      <c r="N57" s="254"/>
      <c r="O57" s="1117"/>
      <c r="P57" s="254"/>
      <c r="Q57" s="1117"/>
      <c r="R57" s="254"/>
      <c r="S57" s="1117"/>
      <c r="T57" s="254"/>
      <c r="U57" s="1117"/>
      <c r="V57" s="254"/>
      <c r="W57" s="1117"/>
      <c r="X57" s="254"/>
      <c r="Y57" s="1117"/>
      <c r="Z57" s="254"/>
      <c r="AA57" s="1117"/>
      <c r="AB57" s="360"/>
      <c r="AC57" s="645">
        <v>0</v>
      </c>
      <c r="AD57" s="307"/>
      <c r="AE57" s="1145"/>
      <c r="AF57" s="1813">
        <f t="shared" si="2"/>
        <v>0</v>
      </c>
      <c r="AG57" s="3606"/>
      <c r="AH57" s="256"/>
      <c r="AI57" s="2922">
        <f>+'Exhibit I State'!AG56</f>
        <v>0</v>
      </c>
      <c r="AJ57" s="265"/>
      <c r="AK57" s="615"/>
      <c r="AL57" s="1131">
        <f>ROUND(SUM(+AF57-AI57),1)</f>
        <v>0</v>
      </c>
      <c r="AM57" s="1608"/>
      <c r="AN57" s="2310">
        <f>ROUND(IF(AI57=0,0,AL57/ABS(AI57)),3)</f>
        <v>0</v>
      </c>
      <c r="AO57" s="607"/>
    </row>
    <row r="58" spans="1:41" ht="15.75">
      <c r="A58" s="218"/>
      <c r="B58" s="1541" t="s">
        <v>1185</v>
      </c>
      <c r="C58" s="218"/>
      <c r="D58" s="218"/>
      <c r="E58" s="1117">
        <f>+'Exhibit I State'!E57+'Exhibit I Federal'!E39</f>
        <v>0.1</v>
      </c>
      <c r="F58" s="2502"/>
      <c r="G58" s="1117"/>
      <c r="H58" s="2502"/>
      <c r="I58" s="1117"/>
      <c r="J58" s="2502"/>
      <c r="K58" s="1117"/>
      <c r="L58" s="254"/>
      <c r="M58" s="1117"/>
      <c r="N58" s="254"/>
      <c r="O58" s="1117"/>
      <c r="P58" s="254"/>
      <c r="Q58" s="1117"/>
      <c r="R58" s="254"/>
      <c r="S58" s="1117"/>
      <c r="T58" s="254"/>
      <c r="U58" s="1117"/>
      <c r="V58" s="254"/>
      <c r="W58" s="1117"/>
      <c r="X58" s="254"/>
      <c r="Y58" s="1117"/>
      <c r="Z58" s="254"/>
      <c r="AA58" s="1117"/>
      <c r="AB58" s="360"/>
      <c r="AC58" s="645">
        <v>0</v>
      </c>
      <c r="AD58" s="307"/>
      <c r="AE58" s="1145"/>
      <c r="AF58" s="1813">
        <f t="shared" si="2"/>
        <v>0.1</v>
      </c>
      <c r="AG58" s="1854"/>
      <c r="AH58" s="256"/>
      <c r="AI58" s="2922">
        <f>+'Exhibit I State'!AG57+'Exhibit I Federal'!AG39</f>
        <v>0.1</v>
      </c>
      <c r="AJ58" s="265"/>
      <c r="AK58" s="615"/>
      <c r="AL58" s="245">
        <f t="shared" si="0"/>
        <v>0</v>
      </c>
      <c r="AM58" s="613"/>
      <c r="AN58" s="2324">
        <f>ROUND(IF(AI58=0,1,AL58/ABS(AI58)),3)</f>
        <v>0</v>
      </c>
      <c r="AO58" s="607"/>
    </row>
    <row r="59" spans="1:41" ht="15.75">
      <c r="A59" s="218"/>
      <c r="B59" s="1541" t="s">
        <v>1187</v>
      </c>
      <c r="C59" s="218"/>
      <c r="D59" s="218"/>
      <c r="E59" s="1117">
        <f>+'Exhibit I State'!E58+'Exhibit I Federal'!E40</f>
        <v>1.1000000000000001</v>
      </c>
      <c r="F59" s="2502"/>
      <c r="G59" s="1117"/>
      <c r="H59" s="2502"/>
      <c r="I59" s="1117"/>
      <c r="J59" s="2502"/>
      <c r="K59" s="1117"/>
      <c r="L59" s="254"/>
      <c r="M59" s="1117"/>
      <c r="N59" s="254"/>
      <c r="O59" s="1117"/>
      <c r="P59" s="254"/>
      <c r="Q59" s="1117"/>
      <c r="R59" s="254"/>
      <c r="S59" s="1117"/>
      <c r="T59" s="254"/>
      <c r="U59" s="1117"/>
      <c r="V59" s="254"/>
      <c r="W59" s="1117"/>
      <c r="X59" s="254"/>
      <c r="Y59" s="1117"/>
      <c r="Z59" s="254"/>
      <c r="AA59" s="1117"/>
      <c r="AB59" s="360"/>
      <c r="AC59" s="645">
        <v>0</v>
      </c>
      <c r="AD59" s="307"/>
      <c r="AE59" s="1145"/>
      <c r="AF59" s="1813">
        <f t="shared" si="2"/>
        <v>1.1000000000000001</v>
      </c>
      <c r="AG59" s="1854"/>
      <c r="AH59" s="256"/>
      <c r="AI59" s="2924">
        <f>+'Exhibit I State'!AG58+'Exhibit I Federal'!AG40</f>
        <v>0.5</v>
      </c>
      <c r="AJ59" s="265"/>
      <c r="AK59" s="615"/>
      <c r="AL59" s="245">
        <f t="shared" si="0"/>
        <v>0.6</v>
      </c>
      <c r="AM59" s="613"/>
      <c r="AN59" s="2231">
        <f>ROUND(IF(AI59=0,0,AL59/ABS(AI59)),3)</f>
        <v>1.2</v>
      </c>
      <c r="AO59" s="607"/>
    </row>
    <row r="60" spans="1:41" ht="15.75">
      <c r="A60" s="218"/>
      <c r="B60" s="1541" t="s">
        <v>1159</v>
      </c>
      <c r="C60" s="218"/>
      <c r="D60" s="218"/>
      <c r="E60" s="1117">
        <f>+'Exhibit I State'!E59+'Exhibit I Federal'!E41</f>
        <v>0.1</v>
      </c>
      <c r="F60" s="2502"/>
      <c r="G60" s="1117"/>
      <c r="H60" s="2502"/>
      <c r="I60" s="1117"/>
      <c r="J60" s="2502"/>
      <c r="K60" s="1117"/>
      <c r="L60" s="254"/>
      <c r="M60" s="1117"/>
      <c r="N60" s="254"/>
      <c r="O60" s="1117"/>
      <c r="P60" s="254"/>
      <c r="Q60" s="1117"/>
      <c r="R60" s="254"/>
      <c r="S60" s="1117"/>
      <c r="T60" s="254"/>
      <c r="U60" s="1117"/>
      <c r="V60" s="254"/>
      <c r="W60" s="1209"/>
      <c r="X60" s="254"/>
      <c r="Y60" s="1209"/>
      <c r="Z60" s="254"/>
      <c r="AA60" s="1209"/>
      <c r="AB60" s="360"/>
      <c r="AC60" s="645">
        <v>0</v>
      </c>
      <c r="AD60" s="307"/>
      <c r="AE60" s="1145"/>
      <c r="AF60" s="1813">
        <f>ROUND(SUM(E60:AC60),1)</f>
        <v>0.1</v>
      </c>
      <c r="AG60" s="1854"/>
      <c r="AH60" s="256"/>
      <c r="AI60" s="2922">
        <f>+'Exhibit I State'!AG59+'Exhibit I Federal'!AG41</f>
        <v>0.79999999999999993</v>
      </c>
      <c r="AJ60" s="265"/>
      <c r="AK60" s="615"/>
      <c r="AL60" s="245">
        <f t="shared" si="0"/>
        <v>-0.7</v>
      </c>
      <c r="AM60" s="613"/>
      <c r="AN60" s="2372">
        <f>ROUND(IF(AI60=0,1,AL60/ABS(AI60)),3)</f>
        <v>-0.875</v>
      </c>
      <c r="AO60" s="607"/>
    </row>
    <row r="61" spans="1:41" s="612" customFormat="1" ht="15.75">
      <c r="A61" s="216"/>
      <c r="B61" s="555" t="s">
        <v>1304</v>
      </c>
      <c r="C61" s="216"/>
      <c r="D61" s="216"/>
      <c r="E61" s="463">
        <f>ROUND(SUM(E37:E60),1)</f>
        <v>407</v>
      </c>
      <c r="F61" s="1587"/>
      <c r="G61" s="463">
        <f>ROUND(SUM(G37:G60),1)</f>
        <v>0</v>
      </c>
      <c r="H61" s="1786"/>
      <c r="I61" s="463">
        <f>ROUND(SUM(I37:I60),1)</f>
        <v>0</v>
      </c>
      <c r="J61" s="1587"/>
      <c r="K61" s="463">
        <f>ROUND(SUM(K37:K60),1)</f>
        <v>0</v>
      </c>
      <c r="L61" s="1587"/>
      <c r="M61" s="463">
        <f>ROUND(SUM(M37:M60),1)</f>
        <v>0</v>
      </c>
      <c r="N61" s="1587"/>
      <c r="O61" s="463">
        <f>ROUND(SUM(O37:O60),1)</f>
        <v>0</v>
      </c>
      <c r="P61" s="1587"/>
      <c r="Q61" s="463">
        <f>ROUND(SUM(Q37:Q60),1)</f>
        <v>0</v>
      </c>
      <c r="R61" s="1587"/>
      <c r="S61" s="463">
        <f>ROUND(SUM(S37:S60),1)</f>
        <v>0</v>
      </c>
      <c r="T61" s="1587"/>
      <c r="U61" s="463">
        <f>ROUND(SUM(U37:U60),1)</f>
        <v>0</v>
      </c>
      <c r="V61" s="1587"/>
      <c r="W61" s="463">
        <f>ROUND(SUM(W37:W60),1)</f>
        <v>0</v>
      </c>
      <c r="X61" s="1587"/>
      <c r="Y61" s="463">
        <f>ROUND(SUM(Y37:Y60),1)</f>
        <v>0</v>
      </c>
      <c r="Z61" s="1587"/>
      <c r="AA61" s="463">
        <f>ROUND(SUM(AA37:AA60),1)</f>
        <v>0</v>
      </c>
      <c r="AB61" s="2503"/>
      <c r="AC61" s="2514">
        <f>ROUND(SUM(AC37:AC60),1)</f>
        <v>0</v>
      </c>
      <c r="AD61" s="301"/>
      <c r="AE61" s="1146"/>
      <c r="AF61" s="2514">
        <f>ROUND(SUM(AF37:AF60),1)</f>
        <v>407</v>
      </c>
      <c r="AG61" s="1820"/>
      <c r="AH61" s="304"/>
      <c r="AI61" s="2514">
        <f>ROUND(SUM(AI37:AI60),1)</f>
        <v>92.6</v>
      </c>
      <c r="AJ61" s="273"/>
      <c r="AK61" s="615"/>
      <c r="AL61" s="463">
        <f>ROUND(SUM(AL37:AL60),1)</f>
        <v>314.39999999999998</v>
      </c>
      <c r="AM61" s="1787"/>
      <c r="AN61" s="1788">
        <f>ROUND(SUM(AL61/AI61),3)</f>
        <v>3.395</v>
      </c>
    </row>
    <row r="62" spans="1:41" ht="15.75">
      <c r="A62" s="218"/>
      <c r="B62" s="555"/>
      <c r="C62" s="218"/>
      <c r="D62" s="218"/>
      <c r="E62" s="2502"/>
      <c r="F62" s="2502"/>
      <c r="G62" s="2502"/>
      <c r="H62" s="1209"/>
      <c r="I62" s="2502"/>
      <c r="J62" s="2502"/>
      <c r="K62" s="2502"/>
      <c r="L62" s="254"/>
      <c r="M62" s="2502"/>
      <c r="N62" s="254"/>
      <c r="O62" s="2502"/>
      <c r="P62" s="254"/>
      <c r="Q62" s="2502"/>
      <c r="R62" s="254"/>
      <c r="S62" s="2502"/>
      <c r="T62" s="254"/>
      <c r="U62" s="2502"/>
      <c r="V62" s="254"/>
      <c r="W62" s="2502"/>
      <c r="X62" s="254"/>
      <c r="Y62" s="2502"/>
      <c r="Z62" s="254"/>
      <c r="AA62" s="2502"/>
      <c r="AB62" s="2502"/>
      <c r="AC62" s="1544"/>
      <c r="AD62" s="307"/>
      <c r="AE62" s="1145"/>
      <c r="AF62" s="1813"/>
      <c r="AG62" s="1819"/>
      <c r="AH62" s="255"/>
      <c r="AI62" s="307"/>
      <c r="AJ62" s="265"/>
      <c r="AK62" s="615"/>
      <c r="AL62" s="245"/>
      <c r="AM62" s="616"/>
      <c r="AN62" s="614"/>
    </row>
    <row r="63" spans="1:41" ht="15.75">
      <c r="A63" s="218"/>
      <c r="B63" s="218" t="s">
        <v>151</v>
      </c>
      <c r="C63" s="218"/>
      <c r="D63" s="218"/>
      <c r="E63" s="1209">
        <f>+'Exhibit I State'!E62+'Exhibit I Federal'!E44</f>
        <v>58.7</v>
      </c>
      <c r="F63" s="2502"/>
      <c r="G63" s="1209"/>
      <c r="H63" s="2502"/>
      <c r="I63" s="1209"/>
      <c r="J63" s="2502"/>
      <c r="K63" s="1209"/>
      <c r="L63" s="254"/>
      <c r="M63" s="1209"/>
      <c r="N63" s="254"/>
      <c r="O63" s="1209"/>
      <c r="P63" s="254"/>
      <c r="Q63" s="1209"/>
      <c r="R63" s="254"/>
      <c r="S63" s="1209"/>
      <c r="T63" s="254"/>
      <c r="U63" s="1209"/>
      <c r="V63" s="254"/>
      <c r="W63" s="1209"/>
      <c r="X63" s="254"/>
      <c r="Y63" s="1209"/>
      <c r="Z63" s="254"/>
      <c r="AA63" s="1209"/>
      <c r="AB63" s="493"/>
      <c r="AC63" s="1813">
        <v>0</v>
      </c>
      <c r="AD63" s="307"/>
      <c r="AE63" s="1145"/>
      <c r="AF63" s="307">
        <f>ROUND(SUM(E63:AC63),1)</f>
        <v>58.7</v>
      </c>
      <c r="AG63" s="1815"/>
      <c r="AH63" s="255"/>
      <c r="AI63" s="307">
        <f>+'Exhibit I State'!AG62+'Exhibit I Federal'!AG44</f>
        <v>136.1</v>
      </c>
      <c r="AJ63" s="265"/>
      <c r="AK63" s="617"/>
      <c r="AL63" s="619">
        <f>ROUND(SUM(+AF63-AI63),1)</f>
        <v>-77.400000000000006</v>
      </c>
      <c r="AM63" s="616"/>
      <c r="AN63" s="620">
        <f>ROUND(SUM(AL63/AI63),3)</f>
        <v>-0.56899999999999995</v>
      </c>
    </row>
    <row r="64" spans="1:41" ht="15.75">
      <c r="A64" s="218"/>
      <c r="B64" s="218"/>
      <c r="C64" s="218"/>
      <c r="D64" s="218"/>
      <c r="E64" s="1210"/>
      <c r="F64" s="2502"/>
      <c r="G64" s="1210"/>
      <c r="H64" s="2502"/>
      <c r="I64" s="1210"/>
      <c r="J64" s="2502"/>
      <c r="K64" s="1210"/>
      <c r="L64" s="254"/>
      <c r="M64" s="277"/>
      <c r="N64" s="254"/>
      <c r="O64" s="277"/>
      <c r="P64" s="254"/>
      <c r="Q64" s="277"/>
      <c r="R64" s="254"/>
      <c r="S64" s="277"/>
      <c r="T64" s="254"/>
      <c r="U64" s="277"/>
      <c r="V64" s="254"/>
      <c r="W64" s="277"/>
      <c r="X64" s="254"/>
      <c r="Y64" s="277"/>
      <c r="Z64" s="254"/>
      <c r="AA64" s="277"/>
      <c r="AB64" s="243"/>
      <c r="AC64" s="315"/>
      <c r="AD64" s="307"/>
      <c r="AE64" s="1145"/>
      <c r="AF64" s="315"/>
      <c r="AG64" s="1815"/>
      <c r="AH64" s="255"/>
      <c r="AI64" s="315"/>
      <c r="AJ64" s="243"/>
      <c r="AK64" s="617"/>
      <c r="AL64" s="245"/>
      <c r="AM64" s="607"/>
      <c r="AN64" s="614"/>
    </row>
    <row r="65" spans="1:44" ht="15.75">
      <c r="A65" s="218"/>
      <c r="B65" s="216" t="s">
        <v>199</v>
      </c>
      <c r="C65" s="218"/>
      <c r="D65" s="218"/>
      <c r="E65" s="3053">
        <f>ROUND(SUM(+E61+E63+E33),1)</f>
        <v>577.70000000000005</v>
      </c>
      <c r="F65" s="1587"/>
      <c r="G65" s="3053">
        <f>ROUND(SUM(+G61+G63+G33),1)</f>
        <v>0</v>
      </c>
      <c r="H65" s="1587"/>
      <c r="I65" s="3053">
        <f>ROUND(SUM(+I61+I63+I33),1)</f>
        <v>0</v>
      </c>
      <c r="J65" s="1587"/>
      <c r="K65" s="3053">
        <f>ROUND(SUM(+K61+K63+K33),1)</f>
        <v>0</v>
      </c>
      <c r="L65" s="250"/>
      <c r="M65" s="566">
        <f>ROUND(SUM(+M61+M63+M33),1)</f>
        <v>0</v>
      </c>
      <c r="N65" s="250"/>
      <c r="O65" s="566">
        <f>ROUND(SUM(+O61+O63+O33),1)</f>
        <v>0</v>
      </c>
      <c r="P65" s="250"/>
      <c r="Q65" s="566">
        <f>ROUND(SUM(+Q61+Q63+Q33),1)</f>
        <v>0</v>
      </c>
      <c r="R65" s="250"/>
      <c r="S65" s="566">
        <f>ROUND(SUM(+S61+S63+S33),1)</f>
        <v>0</v>
      </c>
      <c r="T65" s="250"/>
      <c r="U65" s="566">
        <f>ROUND(SUM(+U61+U63+U33),1)</f>
        <v>0</v>
      </c>
      <c r="V65" s="250"/>
      <c r="W65" s="566">
        <f>ROUND(SUM(+W61+W63+W33),1)</f>
        <v>0</v>
      </c>
      <c r="X65" s="250"/>
      <c r="Y65" s="566">
        <f>ROUND(SUM(+Y61+Y63+Y33),1)</f>
        <v>0</v>
      </c>
      <c r="Z65" s="250"/>
      <c r="AA65" s="566">
        <f>ROUND(SUM(+AA61+AA63+AA33),1)</f>
        <v>0</v>
      </c>
      <c r="AB65" s="1774"/>
      <c r="AC65" s="566">
        <f>ROUND(SUM(+AC61+AC63+AC33),1)</f>
        <v>0</v>
      </c>
      <c r="AD65" s="250"/>
      <c r="AE65" s="252"/>
      <c r="AF65" s="566">
        <f>ROUND(SUM(+AF61+AF63+AF33),1)</f>
        <v>577.70000000000005</v>
      </c>
      <c r="AG65" s="407"/>
      <c r="AH65" s="264"/>
      <c r="AI65" s="566">
        <f>ROUND(SUM(+AI61+AI63+AI33),1)</f>
        <v>327.8</v>
      </c>
      <c r="AJ65" s="273"/>
      <c r="AK65" s="617"/>
      <c r="AL65" s="566">
        <f>ROUND(SUM(+AL61+AL63+AL33),1)</f>
        <v>249.9</v>
      </c>
      <c r="AM65" s="356"/>
      <c r="AN65" s="1550">
        <f>ROUND(SUM(AL65/AI65),3)</f>
        <v>0.76200000000000001</v>
      </c>
      <c r="AO65" s="612"/>
      <c r="AP65" s="621"/>
      <c r="AQ65" s="612"/>
      <c r="AR65" s="612"/>
    </row>
    <row r="66" spans="1:44" ht="15.75">
      <c r="A66" s="218"/>
      <c r="B66" s="218"/>
      <c r="C66" s="218"/>
      <c r="D66" s="218"/>
      <c r="E66" s="1210"/>
      <c r="F66" s="2502"/>
      <c r="G66" s="1210"/>
      <c r="H66" s="2502"/>
      <c r="I66" s="1210"/>
      <c r="J66" s="2502"/>
      <c r="K66" s="1210"/>
      <c r="L66" s="254"/>
      <c r="M66" s="277"/>
      <c r="N66" s="254"/>
      <c r="O66" s="277"/>
      <c r="P66" s="254"/>
      <c r="Q66" s="277"/>
      <c r="R66" s="254"/>
      <c r="S66" s="277"/>
      <c r="T66" s="254"/>
      <c r="U66" s="277"/>
      <c r="V66" s="254"/>
      <c r="W66" s="277"/>
      <c r="X66" s="254"/>
      <c r="Y66" s="277"/>
      <c r="Z66" s="254"/>
      <c r="AA66" s="277"/>
      <c r="AB66" s="243"/>
      <c r="AC66" s="277"/>
      <c r="AD66" s="254"/>
      <c r="AE66" s="244"/>
      <c r="AF66" s="277"/>
      <c r="AG66" s="267"/>
      <c r="AH66" s="243"/>
      <c r="AI66" s="315"/>
      <c r="AJ66" s="243"/>
      <c r="AK66" s="617"/>
      <c r="AL66" s="245"/>
      <c r="AM66" s="607"/>
      <c r="AN66" s="614"/>
    </row>
    <row r="67" spans="1:44" ht="15.75">
      <c r="A67" s="218"/>
      <c r="B67" s="216" t="s">
        <v>23</v>
      </c>
      <c r="C67" s="218"/>
      <c r="D67" s="218"/>
      <c r="E67" s="2502"/>
      <c r="F67" s="2502"/>
      <c r="G67" s="2502"/>
      <c r="H67" s="2502"/>
      <c r="I67" s="2502"/>
      <c r="J67" s="2502"/>
      <c r="K67" s="2502"/>
      <c r="L67" s="254"/>
      <c r="M67" s="254"/>
      <c r="N67" s="254"/>
      <c r="O67" s="254"/>
      <c r="P67" s="254"/>
      <c r="Q67" s="254"/>
      <c r="R67" s="254"/>
      <c r="S67" s="254"/>
      <c r="T67" s="254"/>
      <c r="U67" s="254"/>
      <c r="V67" s="254"/>
      <c r="W67" s="254"/>
      <c r="X67" s="254"/>
      <c r="Y67" s="254"/>
      <c r="Z67" s="254"/>
      <c r="AA67" s="254"/>
      <c r="AB67" s="254"/>
      <c r="AC67" s="254"/>
      <c r="AD67" s="254"/>
      <c r="AE67" s="244"/>
      <c r="AF67" s="254"/>
      <c r="AG67" s="267"/>
      <c r="AH67" s="243"/>
      <c r="AI67" s="307"/>
      <c r="AJ67" s="254"/>
      <c r="AK67" s="617"/>
      <c r="AL67" s="245"/>
      <c r="AM67" s="607"/>
      <c r="AN67" s="614"/>
    </row>
    <row r="68" spans="1:44" ht="15.75">
      <c r="A68" s="218"/>
      <c r="B68" s="218" t="s">
        <v>153</v>
      </c>
      <c r="C68" s="218"/>
      <c r="D68" s="218"/>
      <c r="E68" s="2502"/>
      <c r="F68" s="2502"/>
      <c r="G68" s="2502"/>
      <c r="H68" s="2502"/>
      <c r="I68" s="2502"/>
      <c r="J68" s="2502"/>
      <c r="K68" s="2502"/>
      <c r="L68" s="254"/>
      <c r="M68" s="254"/>
      <c r="N68" s="254"/>
      <c r="O68" s="254"/>
      <c r="P68" s="254"/>
      <c r="Q68" s="254"/>
      <c r="R68" s="254"/>
      <c r="S68" s="254"/>
      <c r="T68" s="254"/>
      <c r="U68" s="254"/>
      <c r="V68" s="254"/>
      <c r="W68" s="254"/>
      <c r="X68" s="254"/>
      <c r="Y68" s="2502" t="s">
        <v>15</v>
      </c>
      <c r="Z68" s="254"/>
      <c r="AA68" s="2502" t="s">
        <v>15</v>
      </c>
      <c r="AB68" s="254"/>
      <c r="AC68" s="254"/>
      <c r="AD68" s="254"/>
      <c r="AE68" s="244"/>
      <c r="AF68" s="265"/>
      <c r="AG68" s="267"/>
      <c r="AH68" s="243"/>
      <c r="AI68" s="307"/>
      <c r="AJ68" s="254"/>
      <c r="AK68" s="617"/>
      <c r="AL68" s="245"/>
      <c r="AM68" s="607"/>
      <c r="AN68" s="614"/>
    </row>
    <row r="69" spans="1:44" ht="15.75">
      <c r="A69" s="218"/>
      <c r="B69" s="218" t="s">
        <v>25</v>
      </c>
      <c r="C69" s="218"/>
      <c r="D69" s="218"/>
      <c r="E69" s="1209">
        <f>+'Exhibit I State'!E68+'Exhibit I Federal'!E50</f>
        <v>8</v>
      </c>
      <c r="F69" s="2502"/>
      <c r="G69" s="1209"/>
      <c r="H69" s="1209"/>
      <c r="I69" s="1209"/>
      <c r="J69" s="2502"/>
      <c r="K69" s="1209"/>
      <c r="L69" s="254"/>
      <c r="M69" s="1209"/>
      <c r="N69" s="254"/>
      <c r="O69" s="1209"/>
      <c r="P69" s="254"/>
      <c r="Q69" s="1209"/>
      <c r="R69" s="254"/>
      <c r="S69" s="1209"/>
      <c r="T69" s="254"/>
      <c r="U69" s="1209"/>
      <c r="V69" s="254"/>
      <c r="W69" s="1209"/>
      <c r="X69" s="254"/>
      <c r="Y69" s="1209"/>
      <c r="Z69" s="254"/>
      <c r="AA69" s="1209"/>
      <c r="AB69" s="493"/>
      <c r="AC69" s="493">
        <v>0</v>
      </c>
      <c r="AD69" s="254"/>
      <c r="AE69" s="244"/>
      <c r="AF69" s="254">
        <f>ROUND(SUM(E69:AC69),1)</f>
        <v>8</v>
      </c>
      <c r="AG69" s="267"/>
      <c r="AH69" s="243"/>
      <c r="AI69" s="307">
        <f>+'Exhibit I State'!AG68+'Exhibit I Federal'!AG50</f>
        <v>0</v>
      </c>
      <c r="AJ69" s="265"/>
      <c r="AK69" s="615"/>
      <c r="AL69" s="245">
        <f>ROUND(SUM(+AF69-AI69),1)</f>
        <v>8</v>
      </c>
      <c r="AM69" s="616"/>
      <c r="AN69" s="3122">
        <f>ROUND(IF(AI69=0,1,AL69/ABS(AI69)),3)</f>
        <v>1</v>
      </c>
    </row>
    <row r="70" spans="1:44" ht="15.75">
      <c r="A70" s="218"/>
      <c r="B70" s="218" t="s">
        <v>26</v>
      </c>
      <c r="C70" s="218"/>
      <c r="D70" s="218"/>
      <c r="E70" s="1209">
        <f>+'Exhibit I State'!E69+'Exhibit I Federal'!E51</f>
        <v>7.6000000000000005</v>
      </c>
      <c r="F70" s="2502"/>
      <c r="G70" s="1209"/>
      <c r="H70" s="2502"/>
      <c r="I70" s="1209"/>
      <c r="J70" s="2502"/>
      <c r="K70" s="1209"/>
      <c r="L70" s="254"/>
      <c r="M70" s="1209"/>
      <c r="N70" s="254"/>
      <c r="O70" s="1209"/>
      <c r="P70" s="254"/>
      <c r="Q70" s="1209"/>
      <c r="R70" s="254"/>
      <c r="S70" s="1209"/>
      <c r="T70" s="254"/>
      <c r="U70" s="1209"/>
      <c r="V70" s="254"/>
      <c r="W70" s="1209"/>
      <c r="X70" s="254"/>
      <c r="Y70" s="1209"/>
      <c r="Z70" s="254"/>
      <c r="AA70" s="1209"/>
      <c r="AB70" s="493"/>
      <c r="AC70" s="493">
        <v>0</v>
      </c>
      <c r="AD70" s="254"/>
      <c r="AE70" s="244"/>
      <c r="AF70" s="254">
        <f>ROUND(SUM(E70:AC70),1)</f>
        <v>7.6</v>
      </c>
      <c r="AG70" s="267"/>
      <c r="AH70" s="243"/>
      <c r="AI70" s="307">
        <f>+'Exhibit I State'!AG69+'Exhibit I Federal'!AG51</f>
        <v>2.4</v>
      </c>
      <c r="AJ70" s="265"/>
      <c r="AK70" s="615"/>
      <c r="AL70" s="245">
        <f t="shared" ref="AL70:AL77" si="3">ROUND(SUM(+AF70-AI70),1)</f>
        <v>5.2</v>
      </c>
      <c r="AM70" s="616"/>
      <c r="AN70" s="2310">
        <f>ROUND(IF(AI70=0,0,AL70/ABS(AI70)),3)</f>
        <v>2.1669999999999998</v>
      </c>
    </row>
    <row r="71" spans="1:44" ht="15.75">
      <c r="A71" s="218"/>
      <c r="B71" s="218" t="s">
        <v>27</v>
      </c>
      <c r="C71" s="218"/>
      <c r="D71" s="218"/>
      <c r="E71" s="1209">
        <f>+'Exhibit I State'!E70+'Exhibit I Federal'!E52</f>
        <v>24.6</v>
      </c>
      <c r="F71" s="2502"/>
      <c r="G71" s="1209"/>
      <c r="H71" s="2502"/>
      <c r="I71" s="1209"/>
      <c r="J71" s="2502"/>
      <c r="K71" s="1209"/>
      <c r="L71" s="254"/>
      <c r="M71" s="1209"/>
      <c r="N71" s="254"/>
      <c r="O71" s="1209"/>
      <c r="P71" s="254"/>
      <c r="Q71" s="1209"/>
      <c r="R71" s="254"/>
      <c r="S71" s="1209"/>
      <c r="T71" s="254"/>
      <c r="U71" s="1209"/>
      <c r="V71" s="254"/>
      <c r="W71" s="1209"/>
      <c r="X71" s="254"/>
      <c r="Y71" s="1209"/>
      <c r="Z71" s="254"/>
      <c r="AA71" s="1209"/>
      <c r="AB71" s="1209" t="s">
        <v>1401</v>
      </c>
      <c r="AC71" s="1209">
        <v>0</v>
      </c>
      <c r="AD71" s="254"/>
      <c r="AE71" s="244"/>
      <c r="AF71" s="254">
        <f>ROUND(SUM(E71:AC71),1)</f>
        <v>24.6</v>
      </c>
      <c r="AG71" s="267"/>
      <c r="AH71" s="243"/>
      <c r="AI71" s="307">
        <f>+'Exhibit I State'!AG70+'Exhibit I Federal'!AG52</f>
        <v>6.4</v>
      </c>
      <c r="AJ71" s="265"/>
      <c r="AK71" s="615"/>
      <c r="AL71" s="245">
        <f t="shared" si="3"/>
        <v>18.2</v>
      </c>
      <c r="AM71" s="616"/>
      <c r="AN71" s="2310">
        <f>ROUND(IF(AI71=0,0,AL71/ABS(AI71)),3)</f>
        <v>2.8439999999999999</v>
      </c>
      <c r="AO71" s="607"/>
    </row>
    <row r="72" spans="1:44" ht="15.75">
      <c r="A72" s="218"/>
      <c r="B72" s="218" t="s">
        <v>28</v>
      </c>
      <c r="C72" s="218"/>
      <c r="D72" s="218"/>
      <c r="E72" s="1209"/>
      <c r="F72" s="2502"/>
      <c r="G72" s="1209"/>
      <c r="H72" s="2502"/>
      <c r="I72" s="1209"/>
      <c r="J72" s="2502"/>
      <c r="K72" s="1209"/>
      <c r="L72" s="254"/>
      <c r="M72" s="1209"/>
      <c r="N72" s="254"/>
      <c r="O72" s="1209"/>
      <c r="P72" s="254"/>
      <c r="Q72" s="1209"/>
      <c r="R72" s="254"/>
      <c r="S72" s="1209"/>
      <c r="T72" s="254"/>
      <c r="U72" s="1209"/>
      <c r="V72" s="254"/>
      <c r="W72" s="1209"/>
      <c r="X72" s="254"/>
      <c r="Y72" s="1209"/>
      <c r="Z72" s="254"/>
      <c r="AA72" s="1209"/>
      <c r="AB72" s="493"/>
      <c r="AC72" s="493"/>
      <c r="AD72" s="254"/>
      <c r="AE72" s="244"/>
      <c r="AF72" s="1042" t="s">
        <v>15</v>
      </c>
      <c r="AG72" s="267"/>
      <c r="AH72" s="243"/>
      <c r="AI72" s="316"/>
      <c r="AJ72" s="254"/>
      <c r="AK72" s="617"/>
      <c r="AL72" s="245" t="s">
        <v>15</v>
      </c>
      <c r="AM72" s="616"/>
      <c r="AN72" s="622" t="s">
        <v>15</v>
      </c>
      <c r="AO72" s="607"/>
    </row>
    <row r="73" spans="1:44" ht="15.75">
      <c r="A73" s="218"/>
      <c r="B73" s="218" t="s">
        <v>29</v>
      </c>
      <c r="C73" s="216"/>
      <c r="D73" s="218"/>
      <c r="E73" s="1209">
        <f>+'Exhibit I State'!E72+'Exhibit I Federal'!E54</f>
        <v>0</v>
      </c>
      <c r="F73" s="2502"/>
      <c r="G73" s="1209"/>
      <c r="H73" s="2502"/>
      <c r="I73" s="1209"/>
      <c r="J73" s="2502"/>
      <c r="K73" s="1209"/>
      <c r="L73" s="254"/>
      <c r="M73" s="1209"/>
      <c r="N73" s="254"/>
      <c r="O73" s="1209"/>
      <c r="P73" s="254"/>
      <c r="Q73" s="1209"/>
      <c r="R73" s="254"/>
      <c r="S73" s="1209"/>
      <c r="T73" s="254"/>
      <c r="U73" s="1209"/>
      <c r="V73" s="254"/>
      <c r="W73" s="1209"/>
      <c r="X73" s="254"/>
      <c r="Y73" s="1209"/>
      <c r="Z73" s="254"/>
      <c r="AA73" s="1209"/>
      <c r="AB73" s="493"/>
      <c r="AC73" s="493">
        <v>0</v>
      </c>
      <c r="AD73" s="254"/>
      <c r="AE73" s="244"/>
      <c r="AF73" s="254">
        <f t="shared" ref="AF73:AF78" si="4">ROUND(SUM(E73:AC73),1)</f>
        <v>0</v>
      </c>
      <c r="AG73" s="267"/>
      <c r="AH73" s="243"/>
      <c r="AI73" s="316">
        <f>+'Exhibit I State'!AG72+'Exhibit I Federal'!AG54</f>
        <v>0</v>
      </c>
      <c r="AJ73" s="254"/>
      <c r="AK73" s="617"/>
      <c r="AL73" s="245">
        <f t="shared" si="3"/>
        <v>0</v>
      </c>
      <c r="AM73" s="616"/>
      <c r="AN73" s="45">
        <f>ROUND(IF(AI73=0,0,AL73/ABS(AI73)),3)</f>
        <v>0</v>
      </c>
      <c r="AO73" s="607"/>
    </row>
    <row r="74" spans="1:44" ht="15.75">
      <c r="A74" s="218"/>
      <c r="B74" s="218" t="s">
        <v>30</v>
      </c>
      <c r="C74" s="218"/>
      <c r="D74" s="218"/>
      <c r="E74" s="1209">
        <f>+'Exhibit I State'!E73+'Exhibit I Federal'!E55</f>
        <v>19.5</v>
      </c>
      <c r="F74" s="2502"/>
      <c r="G74" s="1209"/>
      <c r="H74" s="2502"/>
      <c r="I74" s="1209"/>
      <c r="J74" s="2502"/>
      <c r="K74" s="1209"/>
      <c r="L74" s="254"/>
      <c r="M74" s="1209"/>
      <c r="N74" s="254"/>
      <c r="O74" s="1209"/>
      <c r="P74" s="254"/>
      <c r="Q74" s="1209"/>
      <c r="R74" s="254"/>
      <c r="S74" s="1209"/>
      <c r="T74" s="254"/>
      <c r="U74" s="1209"/>
      <c r="V74" s="254"/>
      <c r="W74" s="1209"/>
      <c r="X74" s="254"/>
      <c r="Y74" s="1209"/>
      <c r="Z74" s="254"/>
      <c r="AA74" s="1209"/>
      <c r="AB74" s="493"/>
      <c r="AC74" s="493">
        <v>0</v>
      </c>
      <c r="AD74" s="254"/>
      <c r="AE74" s="244"/>
      <c r="AF74" s="307">
        <f t="shared" si="4"/>
        <v>19.5</v>
      </c>
      <c r="AG74" s="267"/>
      <c r="AH74" s="243"/>
      <c r="AI74" s="316">
        <f>+'Exhibit I State'!AG73+'Exhibit I Federal'!AG55</f>
        <v>5.6</v>
      </c>
      <c r="AJ74" s="265"/>
      <c r="AK74" s="615"/>
      <c r="AL74" s="245">
        <f t="shared" si="3"/>
        <v>13.9</v>
      </c>
      <c r="AM74" s="616"/>
      <c r="AN74" s="45">
        <f>ROUND(IF(AI74=0,0,AL74/ABS(AI74)),3)</f>
        <v>2.4820000000000002</v>
      </c>
    </row>
    <row r="75" spans="1:44" ht="15.75">
      <c r="A75" s="218"/>
      <c r="B75" s="218" t="s">
        <v>31</v>
      </c>
      <c r="C75" s="218"/>
      <c r="D75" s="218"/>
      <c r="E75" s="1209">
        <f>+'Exhibit I State'!E74+'Exhibit I Federal'!E56</f>
        <v>0.6</v>
      </c>
      <c r="F75" s="2502"/>
      <c r="G75" s="1209"/>
      <c r="H75" s="2502"/>
      <c r="I75" s="1209"/>
      <c r="J75" s="2502"/>
      <c r="K75" s="1209"/>
      <c r="L75" s="254"/>
      <c r="M75" s="1209"/>
      <c r="N75" s="254"/>
      <c r="O75" s="1209"/>
      <c r="P75" s="254"/>
      <c r="Q75" s="1209"/>
      <c r="R75" s="254"/>
      <c r="S75" s="1209"/>
      <c r="T75" s="254"/>
      <c r="U75" s="1209"/>
      <c r="V75" s="254"/>
      <c r="W75" s="1209"/>
      <c r="X75" s="254"/>
      <c r="Y75" s="1209"/>
      <c r="Z75" s="254"/>
      <c r="AA75" s="1209"/>
      <c r="AB75" s="493"/>
      <c r="AC75" s="493">
        <v>0</v>
      </c>
      <c r="AD75" s="254"/>
      <c r="AE75" s="244"/>
      <c r="AF75" s="254">
        <f t="shared" si="4"/>
        <v>0.6</v>
      </c>
      <c r="AG75" s="267"/>
      <c r="AH75" s="243"/>
      <c r="AI75" s="316">
        <f>+'Exhibit I State'!AG74+'Exhibit I Federal'!AG56</f>
        <v>0</v>
      </c>
      <c r="AJ75" s="265"/>
      <c r="AK75" s="615"/>
      <c r="AL75" s="245">
        <f t="shared" si="3"/>
        <v>0.6</v>
      </c>
      <c r="AM75" s="616"/>
      <c r="AN75" s="2310">
        <f>ROUND(IF(AI75=0,1,AL75/ABS(AI75)),3)</f>
        <v>1</v>
      </c>
      <c r="AO75" s="607"/>
    </row>
    <row r="76" spans="1:44" ht="15.75">
      <c r="A76" s="218"/>
      <c r="B76" s="218" t="s">
        <v>32</v>
      </c>
      <c r="C76" s="218"/>
      <c r="D76" s="218"/>
      <c r="E76" s="1209">
        <f>+'Exhibit I State'!E75+'Exhibit I Federal'!E57</f>
        <v>112.6</v>
      </c>
      <c r="F76" s="2502"/>
      <c r="G76" s="1209"/>
      <c r="H76" s="2502"/>
      <c r="I76" s="1209"/>
      <c r="J76" s="2502"/>
      <c r="K76" s="1209"/>
      <c r="L76" s="254"/>
      <c r="M76" s="1209"/>
      <c r="N76" s="254"/>
      <c r="O76" s="1209"/>
      <c r="P76" s="254"/>
      <c r="Q76" s="1209"/>
      <c r="R76" s="254"/>
      <c r="S76" s="1209"/>
      <c r="T76" s="254"/>
      <c r="U76" s="1209"/>
      <c r="V76" s="254"/>
      <c r="W76" s="1209"/>
      <c r="X76" s="254"/>
      <c r="Y76" s="1209"/>
      <c r="Z76" s="254"/>
      <c r="AA76" s="1209"/>
      <c r="AB76" s="493"/>
      <c r="AC76" s="493">
        <v>0</v>
      </c>
      <c r="AD76" s="254"/>
      <c r="AE76" s="244"/>
      <c r="AF76" s="254">
        <f t="shared" si="4"/>
        <v>112.6</v>
      </c>
      <c r="AG76" s="267"/>
      <c r="AH76" s="243"/>
      <c r="AI76" s="316">
        <f>+'Exhibit I State'!AG75+'Exhibit I Federal'!AG57</f>
        <v>48.1</v>
      </c>
      <c r="AJ76" s="254"/>
      <c r="AK76" s="617"/>
      <c r="AL76" s="245">
        <f t="shared" si="3"/>
        <v>64.5</v>
      </c>
      <c r="AM76" s="616"/>
      <c r="AN76" s="2310">
        <f>ROUND(IF(AI76=0,1,AL76/ABS(AI76)),3)</f>
        <v>1.341</v>
      </c>
      <c r="AO76" s="607"/>
    </row>
    <row r="77" spans="1:44" ht="15.75">
      <c r="A77" s="218"/>
      <c r="B77" s="218" t="s">
        <v>33</v>
      </c>
      <c r="C77" s="216"/>
      <c r="D77" s="218"/>
      <c r="E77" s="1209">
        <f>+'Exhibit I State'!E76+'Exhibit I Federal'!E58</f>
        <v>109.2</v>
      </c>
      <c r="F77" s="2502"/>
      <c r="G77" s="1209"/>
      <c r="H77" s="2502"/>
      <c r="I77" s="1209"/>
      <c r="J77" s="2502"/>
      <c r="K77" s="1209"/>
      <c r="L77" s="254"/>
      <c r="M77" s="1209"/>
      <c r="N77" s="254"/>
      <c r="O77" s="1209"/>
      <c r="P77" s="254"/>
      <c r="Q77" s="1209"/>
      <c r="R77" s="254"/>
      <c r="S77" s="1209"/>
      <c r="T77" s="254"/>
      <c r="U77" s="1209"/>
      <c r="V77" s="254"/>
      <c r="W77" s="1209"/>
      <c r="X77" s="254"/>
      <c r="Y77" s="1209"/>
      <c r="Z77" s="254"/>
      <c r="AA77" s="1209"/>
      <c r="AB77" s="493"/>
      <c r="AC77" s="493">
        <v>0</v>
      </c>
      <c r="AD77" s="254"/>
      <c r="AE77" s="244"/>
      <c r="AF77" s="254">
        <f t="shared" si="4"/>
        <v>109.2</v>
      </c>
      <c r="AG77" s="267"/>
      <c r="AH77" s="243"/>
      <c r="AI77" s="316">
        <f>+'Exhibit I State'!AG76+'Exhibit I Federal'!AG58</f>
        <v>155.69999999999999</v>
      </c>
      <c r="AJ77" s="254"/>
      <c r="AK77" s="617"/>
      <c r="AL77" s="245">
        <f t="shared" si="3"/>
        <v>-46.5</v>
      </c>
      <c r="AM77" s="616"/>
      <c r="AN77" s="2587">
        <f>ROUND(IF(AI77=0,0,AL77/ABS(AI77)),3)</f>
        <v>-0.29899999999999999</v>
      </c>
      <c r="AO77" s="607"/>
    </row>
    <row r="78" spans="1:44" ht="15.75">
      <c r="A78" s="218"/>
      <c r="B78" s="218" t="s">
        <v>34</v>
      </c>
      <c r="C78" s="218"/>
      <c r="D78" s="218"/>
      <c r="E78" s="1209">
        <f>+'Exhibit I State'!E77+'Exhibit I Federal'!E59</f>
        <v>54.3</v>
      </c>
      <c r="F78" s="2502"/>
      <c r="G78" s="1209"/>
      <c r="H78" s="2502"/>
      <c r="I78" s="1209"/>
      <c r="J78" s="2502"/>
      <c r="K78" s="1209"/>
      <c r="L78" s="254"/>
      <c r="M78" s="1209"/>
      <c r="N78" s="254"/>
      <c r="O78" s="1209"/>
      <c r="P78" s="254"/>
      <c r="Q78" s="1209"/>
      <c r="R78" s="254"/>
      <c r="S78" s="1209"/>
      <c r="T78" s="254"/>
      <c r="U78" s="1209"/>
      <c r="V78" s="254"/>
      <c r="W78" s="1209"/>
      <c r="X78" s="254"/>
      <c r="Y78" s="1209"/>
      <c r="Z78" s="254"/>
      <c r="AA78" s="1209"/>
      <c r="AB78" s="493"/>
      <c r="AC78" s="493">
        <v>0</v>
      </c>
      <c r="AD78" s="254"/>
      <c r="AE78" s="244"/>
      <c r="AF78" s="254">
        <f t="shared" si="4"/>
        <v>54.3</v>
      </c>
      <c r="AG78" s="267"/>
      <c r="AH78" s="243"/>
      <c r="AI78" s="1760">
        <f>+'Exhibit I State'!AG77+'Exhibit I Federal'!AG59</f>
        <v>34</v>
      </c>
      <c r="AJ78" s="243"/>
      <c r="AK78" s="617"/>
      <c r="AL78" s="245">
        <f>ROUND(SUM(+AF78-AI78),1)</f>
        <v>20.3</v>
      </c>
      <c r="AM78" s="607"/>
      <c r="AN78" s="1554">
        <f>ROUND(IF(AI78=0,0,AL78/ABS(AI78)),3)</f>
        <v>0.59699999999999998</v>
      </c>
      <c r="AO78" s="607"/>
    </row>
    <row r="79" spans="1:44" ht="15.75">
      <c r="A79" s="218"/>
      <c r="B79" s="216" t="s">
        <v>200</v>
      </c>
      <c r="C79" s="218"/>
      <c r="D79" s="218"/>
      <c r="E79" s="517">
        <f>ROUND(SUM(E69:E78),1)</f>
        <v>336.4</v>
      </c>
      <c r="F79" s="1587"/>
      <c r="G79" s="517">
        <f>ROUND(SUM(G69:G78),1)</f>
        <v>0</v>
      </c>
      <c r="H79" s="1587"/>
      <c r="I79" s="517">
        <f>ROUND(SUM(I69:I78),1)</f>
        <v>0</v>
      </c>
      <c r="J79" s="2503"/>
      <c r="K79" s="517">
        <f>ROUND(SUM(K69:K78),1)</f>
        <v>0</v>
      </c>
      <c r="L79" s="264"/>
      <c r="M79" s="517">
        <f>ROUND(SUM(M69:M78),1)</f>
        <v>0</v>
      </c>
      <c r="N79" s="264"/>
      <c r="O79" s="517">
        <f>ROUND(SUM(O69:O78),1)</f>
        <v>0</v>
      </c>
      <c r="P79" s="250"/>
      <c r="Q79" s="517">
        <f>ROUND(SUM(Q69:Q78),1)</f>
        <v>0</v>
      </c>
      <c r="R79" s="250"/>
      <c r="S79" s="517">
        <f>ROUND(SUM(S69:S78),1)</f>
        <v>0</v>
      </c>
      <c r="T79" s="250"/>
      <c r="U79" s="517">
        <f>ROUND(SUM(U69:U78),1)</f>
        <v>0</v>
      </c>
      <c r="V79" s="250"/>
      <c r="W79" s="517">
        <f>ROUND(SUM(W69:W78),1)</f>
        <v>0</v>
      </c>
      <c r="X79" s="250"/>
      <c r="Y79" s="517">
        <f>ROUND(SUM(Y69:Y78),1)</f>
        <v>0</v>
      </c>
      <c r="Z79" s="250"/>
      <c r="AA79" s="517">
        <f>ROUND(SUM(AA69:AA78),1)</f>
        <v>0</v>
      </c>
      <c r="AB79" s="2503"/>
      <c r="AC79" s="517">
        <f>ROUND(SUM(AC69:AC78),1)</f>
        <v>0</v>
      </c>
      <c r="AD79" s="250"/>
      <c r="AE79" s="252"/>
      <c r="AF79" s="517">
        <f>ROUND(SUM(AF69:AF78),1)</f>
        <v>336.4</v>
      </c>
      <c r="AG79" s="407"/>
      <c r="AH79" s="264"/>
      <c r="AI79" s="1835">
        <f>ROUND(SUM(AI69:AI78),1)</f>
        <v>252.2</v>
      </c>
      <c r="AJ79" s="264"/>
      <c r="AK79" s="617"/>
      <c r="AL79" s="517">
        <f>ROUND(SUM(AL69:AL78),1)</f>
        <v>84.2</v>
      </c>
      <c r="AM79" s="624"/>
      <c r="AN79" s="1550">
        <f>ROUND(SUM(AL79/AI79),3)</f>
        <v>0.33400000000000002</v>
      </c>
      <c r="AO79" s="612"/>
      <c r="AP79" s="621"/>
      <c r="AQ79" s="612"/>
      <c r="AR79" s="612"/>
    </row>
    <row r="80" spans="1:44" ht="15.75">
      <c r="A80" s="218"/>
      <c r="B80" s="218" t="s">
        <v>201</v>
      </c>
      <c r="C80" s="218"/>
      <c r="D80" s="218"/>
      <c r="E80" s="2502"/>
      <c r="F80" s="2502"/>
      <c r="G80" s="2502"/>
      <c r="H80" s="2502"/>
      <c r="I80" s="2502"/>
      <c r="J80" s="2502"/>
      <c r="K80" s="2502"/>
      <c r="L80" s="254"/>
      <c r="M80" s="254"/>
      <c r="N80" s="254"/>
      <c r="O80" s="254"/>
      <c r="P80" s="254"/>
      <c r="Q80" s="254"/>
      <c r="R80" s="254"/>
      <c r="S80" s="254"/>
      <c r="T80" s="254"/>
      <c r="U80" s="254"/>
      <c r="V80" s="254"/>
      <c r="W80" s="254"/>
      <c r="X80" s="254"/>
      <c r="Y80" s="254"/>
      <c r="Z80" s="254"/>
      <c r="AA80" s="254"/>
      <c r="AB80" s="254"/>
      <c r="AC80" s="254"/>
      <c r="AD80" s="254"/>
      <c r="AE80" s="244"/>
      <c r="AF80" s="254"/>
      <c r="AG80" s="267"/>
      <c r="AH80" s="243"/>
      <c r="AI80" s="307"/>
      <c r="AJ80" s="254"/>
      <c r="AK80" s="617"/>
      <c r="AL80" s="245"/>
      <c r="AM80" s="607"/>
      <c r="AN80" s="614"/>
    </row>
    <row r="81" spans="1:44" ht="15.75">
      <c r="A81" s="218"/>
      <c r="B81" s="218" t="s">
        <v>202</v>
      </c>
      <c r="C81" s="218"/>
      <c r="D81" s="218"/>
      <c r="E81" s="1209">
        <f>+'Exhibit I State'!E80+'Exhibit I Federal'!E62</f>
        <v>0</v>
      </c>
      <c r="F81" s="2502"/>
      <c r="G81" s="1209"/>
      <c r="H81" s="2502"/>
      <c r="I81" s="1209"/>
      <c r="J81" s="2502"/>
      <c r="K81" s="1209"/>
      <c r="L81" s="254"/>
      <c r="M81" s="1209"/>
      <c r="N81" s="254"/>
      <c r="O81" s="1209"/>
      <c r="P81" s="254"/>
      <c r="Q81" s="1209"/>
      <c r="R81" s="254"/>
      <c r="S81" s="1209"/>
      <c r="T81" s="254"/>
      <c r="U81" s="1209"/>
      <c r="V81" s="254"/>
      <c r="W81" s="1209"/>
      <c r="X81" s="254"/>
      <c r="Y81" s="1209"/>
      <c r="Z81" s="254"/>
      <c r="AA81" s="1209"/>
      <c r="AB81" s="493"/>
      <c r="AC81" s="493">
        <v>0</v>
      </c>
      <c r="AD81" s="254"/>
      <c r="AE81" s="244"/>
      <c r="AF81" s="265">
        <f>ROUND(SUM(E81:AC81),1)</f>
        <v>0</v>
      </c>
      <c r="AG81" s="267"/>
      <c r="AH81" s="243"/>
      <c r="AI81" s="645">
        <f>+'Exhibit I State'!AG80+'Exhibit I Federal'!AG62</f>
        <v>0</v>
      </c>
      <c r="AJ81" s="257"/>
      <c r="AK81" s="626"/>
      <c r="AL81" s="623">
        <f>ROUND(SUM(+AF81-AI81),1)</f>
        <v>0</v>
      </c>
      <c r="AM81" s="607"/>
      <c r="AN81" s="45">
        <f>ROUND(IF(AI81=0,0,AL81/ABS(AI81)),3)</f>
        <v>0</v>
      </c>
    </row>
    <row r="82" spans="1:44" ht="15.75">
      <c r="A82" s="218"/>
      <c r="B82" s="218" t="s">
        <v>203</v>
      </c>
      <c r="C82" s="218"/>
      <c r="D82" s="218"/>
      <c r="E82" s="1209">
        <f>+'Exhibit I State'!E81+'Exhibit I Federal'!E63</f>
        <v>0</v>
      </c>
      <c r="F82" s="2502"/>
      <c r="G82" s="1209"/>
      <c r="H82" s="2502"/>
      <c r="I82" s="1209"/>
      <c r="J82" s="2502"/>
      <c r="K82" s="1209"/>
      <c r="L82" s="254"/>
      <c r="M82" s="1209"/>
      <c r="N82" s="254"/>
      <c r="O82" s="1209"/>
      <c r="P82" s="254"/>
      <c r="Q82" s="1209"/>
      <c r="R82" s="254"/>
      <c r="S82" s="1209"/>
      <c r="T82" s="254"/>
      <c r="U82" s="1209"/>
      <c r="V82" s="254"/>
      <c r="W82" s="1209"/>
      <c r="X82" s="254"/>
      <c r="Y82" s="1209"/>
      <c r="Z82" s="254"/>
      <c r="AA82" s="1209"/>
      <c r="AB82" s="493"/>
      <c r="AC82" s="493">
        <v>0</v>
      </c>
      <c r="AD82" s="254"/>
      <c r="AE82" s="244"/>
      <c r="AF82" s="265">
        <f>ROUND(SUM(E82:AC82),1)</f>
        <v>0</v>
      </c>
      <c r="AG82" s="267"/>
      <c r="AH82" s="243"/>
      <c r="AI82" s="645">
        <f>+'Exhibit I State'!AG81+'Exhibit I Federal'!AG63</f>
        <v>0</v>
      </c>
      <c r="AJ82" s="257"/>
      <c r="AK82" s="626"/>
      <c r="AL82" s="623">
        <f>ROUND(SUM(+AF82-AI82),1)</f>
        <v>0</v>
      </c>
      <c r="AM82" s="607"/>
      <c r="AN82" s="45">
        <f>ROUND(IF(AI82=0,0,AL82/ABS(AI82)),3)</f>
        <v>0</v>
      </c>
    </row>
    <row r="83" spans="1:44" ht="15.75">
      <c r="A83" s="218"/>
      <c r="B83" s="218" t="s">
        <v>204</v>
      </c>
      <c r="C83" s="218"/>
      <c r="D83" s="218"/>
      <c r="E83" s="1209">
        <f>+'Exhibit I State'!E82+'Exhibit I Federal'!E64</f>
        <v>0</v>
      </c>
      <c r="F83" s="2502"/>
      <c r="G83" s="1209"/>
      <c r="H83" s="2502"/>
      <c r="I83" s="1209"/>
      <c r="J83" s="2502"/>
      <c r="K83" s="1209"/>
      <c r="L83" s="254"/>
      <c r="M83" s="1209"/>
      <c r="N83" s="254"/>
      <c r="O83" s="1209"/>
      <c r="P83" s="254"/>
      <c r="Q83" s="1209"/>
      <c r="R83" s="254"/>
      <c r="S83" s="1209"/>
      <c r="T83" s="254"/>
      <c r="U83" s="1209"/>
      <c r="V83" s="254"/>
      <c r="W83" s="1209"/>
      <c r="X83" s="254"/>
      <c r="Y83" s="1209"/>
      <c r="Z83" s="627"/>
      <c r="AA83" s="1209"/>
      <c r="AB83" s="493"/>
      <c r="AC83" s="493">
        <v>0</v>
      </c>
      <c r="AD83" s="627"/>
      <c r="AE83" s="628"/>
      <c r="AF83" s="265">
        <f>ROUND(SUM(E83:AC83),1)</f>
        <v>0</v>
      </c>
      <c r="AG83" s="267"/>
      <c r="AH83" s="243"/>
      <c r="AI83" s="645">
        <f>+'Exhibit I State'!AG82+'Exhibit I Federal'!AG64</f>
        <v>0</v>
      </c>
      <c r="AJ83" s="257"/>
      <c r="AK83" s="626"/>
      <c r="AL83" s="623">
        <f>ROUND(SUM(+AF83-AI83),1)</f>
        <v>0</v>
      </c>
      <c r="AM83" s="607"/>
      <c r="AN83" s="45">
        <f>ROUND(IF(AI83=0,0,AL83/ABS(AI83)),3)</f>
        <v>0</v>
      </c>
    </row>
    <row r="84" spans="1:44" ht="15.75">
      <c r="A84" s="218"/>
      <c r="B84" s="241" t="s">
        <v>175</v>
      </c>
      <c r="C84" s="218"/>
      <c r="D84" s="218"/>
      <c r="E84" s="1209">
        <f>+'Exhibit I State'!E83+'Exhibit I Federal'!E65</f>
        <v>361.2</v>
      </c>
      <c r="F84" s="2502"/>
      <c r="G84" s="1209"/>
      <c r="H84" s="1117"/>
      <c r="I84" s="1209"/>
      <c r="J84" s="1117"/>
      <c r="K84" s="1209"/>
      <c r="L84" s="254"/>
      <c r="M84" s="1209"/>
      <c r="N84" s="254"/>
      <c r="O84" s="1209"/>
      <c r="P84" s="254"/>
      <c r="Q84" s="1209"/>
      <c r="R84" s="254"/>
      <c r="S84" s="1209"/>
      <c r="T84" s="254"/>
      <c r="U84" s="1209"/>
      <c r="V84" s="254"/>
      <c r="W84" s="1209"/>
      <c r="X84" s="254"/>
      <c r="Y84" s="1209"/>
      <c r="Z84" s="254"/>
      <c r="AA84" s="1209"/>
      <c r="AB84" s="493"/>
      <c r="AC84" s="493">
        <v>0</v>
      </c>
      <c r="AD84" s="254"/>
      <c r="AE84" s="244"/>
      <c r="AF84" s="308">
        <f>ROUND(SUM(E84:AC84),1)</f>
        <v>361.2</v>
      </c>
      <c r="AG84" s="267"/>
      <c r="AH84" s="243"/>
      <c r="AI84" s="2925">
        <f>+'Exhibit I State'!AG83+'Exhibit I Federal'!AG65</f>
        <v>350</v>
      </c>
      <c r="AJ84" s="266"/>
      <c r="AK84" s="615"/>
      <c r="AL84" s="619">
        <f>ROUND(SUM(+AF84-AI84),1)</f>
        <v>11.2</v>
      </c>
      <c r="AM84" s="607"/>
      <c r="AN84" s="1554">
        <f>ROUND(IF(AI84=0,0,AL84/ABS(AI84)),3)</f>
        <v>3.2000000000000001E-2</v>
      </c>
    </row>
    <row r="85" spans="1:44" ht="15.75">
      <c r="A85" s="218"/>
      <c r="B85" s="218"/>
      <c r="C85" s="218"/>
      <c r="D85" s="218"/>
      <c r="E85" s="1210"/>
      <c r="F85" s="2502"/>
      <c r="G85" s="1210"/>
      <c r="H85" s="2502"/>
      <c r="I85" s="1210"/>
      <c r="J85" s="2502"/>
      <c r="K85" s="1210"/>
      <c r="L85" s="254"/>
      <c r="M85" s="277"/>
      <c r="N85" s="254"/>
      <c r="O85" s="277"/>
      <c r="P85" s="254"/>
      <c r="Q85" s="277"/>
      <c r="R85" s="254"/>
      <c r="S85" s="277"/>
      <c r="T85" s="254"/>
      <c r="U85" s="277"/>
      <c r="V85" s="254"/>
      <c r="W85" s="277"/>
      <c r="X85" s="254"/>
      <c r="Y85" s="277"/>
      <c r="Z85" s="254"/>
      <c r="AA85" s="277"/>
      <c r="AB85" s="243"/>
      <c r="AC85" s="277"/>
      <c r="AD85" s="254"/>
      <c r="AE85" s="244"/>
      <c r="AF85" s="277"/>
      <c r="AG85" s="267"/>
      <c r="AH85" s="243"/>
      <c r="AI85" s="646"/>
      <c r="AJ85" s="245"/>
      <c r="AK85" s="629"/>
      <c r="AL85" s="245"/>
      <c r="AM85" s="607"/>
      <c r="AN85" s="614"/>
    </row>
    <row r="86" spans="1:44" ht="15.75">
      <c r="A86" s="218"/>
      <c r="B86" s="216" t="s">
        <v>205</v>
      </c>
      <c r="C86" s="218"/>
      <c r="D86" s="218"/>
      <c r="E86" s="1587">
        <f>ROUND(SUM(+E84+E79),1)</f>
        <v>697.6</v>
      </c>
      <c r="F86" s="1587"/>
      <c r="G86" s="1587">
        <f>ROUND(SUM(+G84+G79),1)</f>
        <v>0</v>
      </c>
      <c r="H86" s="1587"/>
      <c r="I86" s="1587">
        <f>ROUND(SUM(+I84+I79),1)</f>
        <v>0</v>
      </c>
      <c r="J86" s="1587"/>
      <c r="K86" s="1587">
        <f>ROUND(SUM(+K84+K79),1)</f>
        <v>0</v>
      </c>
      <c r="L86" s="250"/>
      <c r="M86" s="1587">
        <f>ROUND(SUM(+M84+M79),1)</f>
        <v>0</v>
      </c>
      <c r="N86" s="250"/>
      <c r="O86" s="1587">
        <f>ROUND(SUM(+O84+O79),1)</f>
        <v>0</v>
      </c>
      <c r="P86" s="250"/>
      <c r="Q86" s="1587">
        <f>ROUND(SUM(+Q84+Q79),1)</f>
        <v>0</v>
      </c>
      <c r="R86" s="250"/>
      <c r="S86" s="1587">
        <f>ROUND(SUM(+S84+S79),1)</f>
        <v>0</v>
      </c>
      <c r="T86" s="250"/>
      <c r="U86" s="1587">
        <f>ROUND(SUM(+U84+U79),1)</f>
        <v>0</v>
      </c>
      <c r="V86" s="250"/>
      <c r="W86" s="1587">
        <f>ROUND(SUM(+W84+W79),1)</f>
        <v>0</v>
      </c>
      <c r="X86" s="250"/>
      <c r="Y86" s="1587">
        <f>ROUND(SUM(+Y84+Y79),1)</f>
        <v>0</v>
      </c>
      <c r="Z86" s="250"/>
      <c r="AA86" s="1587">
        <f>ROUND(SUM(+AA84+AA79),1)</f>
        <v>0</v>
      </c>
      <c r="AB86" s="1587"/>
      <c r="AC86" s="1587">
        <f>ROUND(SUM(+AC84+AC79),1)</f>
        <v>0</v>
      </c>
      <c r="AD86" s="250"/>
      <c r="AE86" s="252"/>
      <c r="AF86" s="250">
        <f>ROUND(SUM(+AF84+AF79),1)</f>
        <v>697.6</v>
      </c>
      <c r="AG86" s="407"/>
      <c r="AH86" s="264"/>
      <c r="AI86" s="301">
        <f>ROUND(SUM(+AI84+AI79),1)</f>
        <v>602.20000000000005</v>
      </c>
      <c r="AJ86" s="264"/>
      <c r="AK86" s="617"/>
      <c r="AL86" s="262">
        <f>ROUND(SUM(AL79+AL84),1)</f>
        <v>95.4</v>
      </c>
      <c r="AM86" s="624"/>
      <c r="AN86" s="522">
        <f>ROUND(SUM(AL86/AI86),3)</f>
        <v>0.158</v>
      </c>
      <c r="AO86" s="612"/>
      <c r="AP86" s="621"/>
      <c r="AQ86" s="612"/>
      <c r="AR86" s="612"/>
    </row>
    <row r="87" spans="1:44" ht="15.75">
      <c r="A87" s="218"/>
      <c r="B87" s="218"/>
      <c r="C87" s="218"/>
      <c r="D87" s="218"/>
      <c r="E87" s="1210"/>
      <c r="F87" s="2502"/>
      <c r="G87" s="1210"/>
      <c r="H87" s="2502"/>
      <c r="I87" s="1210"/>
      <c r="J87" s="2502"/>
      <c r="K87" s="1210"/>
      <c r="L87" s="254"/>
      <c r="M87" s="277"/>
      <c r="N87" s="254"/>
      <c r="O87" s="277"/>
      <c r="P87" s="254"/>
      <c r="Q87" s="277"/>
      <c r="R87" s="254"/>
      <c r="S87" s="277"/>
      <c r="T87" s="254"/>
      <c r="U87" s="277"/>
      <c r="V87" s="254"/>
      <c r="W87" s="277"/>
      <c r="X87" s="254"/>
      <c r="Y87" s="277"/>
      <c r="Z87" s="254"/>
      <c r="AA87" s="277"/>
      <c r="AB87" s="243"/>
      <c r="AC87" s="277"/>
      <c r="AD87" s="254"/>
      <c r="AE87" s="244"/>
      <c r="AF87" s="277"/>
      <c r="AG87" s="267"/>
      <c r="AH87" s="243"/>
      <c r="AI87" s="315"/>
      <c r="AJ87" s="243"/>
      <c r="AK87" s="617"/>
      <c r="AL87" s="245"/>
      <c r="AM87" s="607"/>
      <c r="AN87" s="614"/>
    </row>
    <row r="88" spans="1:44" ht="15.75">
      <c r="A88" s="218"/>
      <c r="B88" s="216" t="s">
        <v>206</v>
      </c>
      <c r="C88" s="218"/>
      <c r="D88" s="218"/>
      <c r="E88" s="2502"/>
      <c r="F88" s="2502"/>
      <c r="G88" s="2502"/>
      <c r="H88" s="2502"/>
      <c r="I88" s="2502"/>
      <c r="J88" s="2502"/>
      <c r="K88" s="2502"/>
      <c r="L88" s="254"/>
      <c r="M88" s="254"/>
      <c r="N88" s="254"/>
      <c r="O88" s="254"/>
      <c r="P88" s="254"/>
      <c r="Q88" s="254"/>
      <c r="R88" s="254"/>
      <c r="S88" s="254"/>
      <c r="T88" s="254"/>
      <c r="U88" s="254"/>
      <c r="V88" s="254"/>
      <c r="W88" s="254"/>
      <c r="X88" s="254"/>
      <c r="Y88" s="254"/>
      <c r="Z88" s="254"/>
      <c r="AA88" s="254"/>
      <c r="AB88" s="254"/>
      <c r="AC88" s="254"/>
      <c r="AD88" s="254"/>
      <c r="AE88" s="244"/>
      <c r="AF88" s="245"/>
      <c r="AG88" s="267"/>
      <c r="AH88" s="243"/>
      <c r="AI88" s="646"/>
      <c r="AJ88" s="245"/>
      <c r="AK88" s="629"/>
      <c r="AL88" s="245"/>
      <c r="AM88" s="607"/>
      <c r="AN88" s="614"/>
    </row>
    <row r="89" spans="1:44" ht="15.75">
      <c r="A89" s="218"/>
      <c r="B89" s="216" t="s">
        <v>207</v>
      </c>
      <c r="C89" s="218"/>
      <c r="D89" s="218"/>
      <c r="E89" s="1587">
        <f>ROUND(SUM(E65-E86),1)</f>
        <v>-119.9</v>
      </c>
      <c r="F89" s="1587"/>
      <c r="G89" s="1587">
        <f>ROUND(SUM(G65-G86),1)</f>
        <v>0</v>
      </c>
      <c r="H89" s="1587"/>
      <c r="I89" s="1587">
        <f>ROUND(SUM(I65-I86),1)</f>
        <v>0</v>
      </c>
      <c r="J89" s="1587"/>
      <c r="K89" s="1587">
        <f>ROUND(SUM(K65-K86),1)</f>
        <v>0</v>
      </c>
      <c r="L89" s="250"/>
      <c r="M89" s="1587">
        <f>ROUND(SUM(M65-M86),1)</f>
        <v>0</v>
      </c>
      <c r="N89" s="250"/>
      <c r="O89" s="1587">
        <f>ROUND(SUM(O65-O86),1)</f>
        <v>0</v>
      </c>
      <c r="P89" s="250"/>
      <c r="Q89" s="1587">
        <f>ROUND(SUM(Q65-Q86),1)</f>
        <v>0</v>
      </c>
      <c r="R89" s="250"/>
      <c r="S89" s="1587">
        <f>ROUND(SUM(S65-S86),1)</f>
        <v>0</v>
      </c>
      <c r="T89" s="250"/>
      <c r="U89" s="1587">
        <f>ROUND(SUM(U65-U86),1)</f>
        <v>0</v>
      </c>
      <c r="V89" s="250"/>
      <c r="W89" s="1587">
        <f>ROUND(SUM(W65-W86),1)</f>
        <v>0</v>
      </c>
      <c r="X89" s="250"/>
      <c r="Y89" s="1587">
        <f>ROUND(SUM(Y65-Y86),1)</f>
        <v>0</v>
      </c>
      <c r="Z89" s="250"/>
      <c r="AA89" s="1587">
        <f>ROUND(SUM(AA65-AA86),1)</f>
        <v>0</v>
      </c>
      <c r="AB89" s="1587"/>
      <c r="AC89" s="1587">
        <f>ROUND(SUM(AC65-AC86),1)</f>
        <v>0</v>
      </c>
      <c r="AD89" s="250"/>
      <c r="AE89" s="252"/>
      <c r="AF89" s="250">
        <f>ROUND(SUM(AF65-AF86),1)</f>
        <v>-119.9</v>
      </c>
      <c r="AG89" s="407"/>
      <c r="AH89" s="264"/>
      <c r="AI89" s="301">
        <f>ROUND(SUM(AI65-AI86),1)</f>
        <v>-274.39999999999998</v>
      </c>
      <c r="AJ89" s="264"/>
      <c r="AK89" s="617"/>
      <c r="AL89" s="262">
        <f>ROUND(SUM(AL65-AL86),1)</f>
        <v>154.5</v>
      </c>
      <c r="AM89" s="624"/>
      <c r="AN89" s="522">
        <f>ROUND(IF(AI89=0,0,AL89/ABS(AI89)),3)</f>
        <v>0.56299999999999994</v>
      </c>
      <c r="AO89" s="612"/>
      <c r="AP89" s="612"/>
      <c r="AQ89" s="612"/>
      <c r="AR89" s="612"/>
    </row>
    <row r="90" spans="1:44" ht="15.75">
      <c r="A90" s="218"/>
      <c r="B90" s="218"/>
      <c r="C90" s="218"/>
      <c r="D90" s="218"/>
      <c r="E90" s="1210"/>
      <c r="F90" s="2502"/>
      <c r="G90" s="1210"/>
      <c r="H90" s="2502"/>
      <c r="I90" s="1210"/>
      <c r="J90" s="2502"/>
      <c r="K90" s="1210"/>
      <c r="L90" s="254"/>
      <c r="M90" s="277"/>
      <c r="N90" s="254"/>
      <c r="O90" s="277"/>
      <c r="P90" s="254"/>
      <c r="Q90" s="277"/>
      <c r="R90" s="254"/>
      <c r="S90" s="277"/>
      <c r="T90" s="254"/>
      <c r="U90" s="277"/>
      <c r="V90" s="254"/>
      <c r="W90" s="277"/>
      <c r="X90" s="254"/>
      <c r="Y90" s="277"/>
      <c r="Z90" s="254"/>
      <c r="AA90" s="277"/>
      <c r="AB90" s="243"/>
      <c r="AC90" s="277"/>
      <c r="AD90" s="254"/>
      <c r="AE90" s="244"/>
      <c r="AF90" s="277"/>
      <c r="AG90" s="267"/>
      <c r="AH90" s="243"/>
      <c r="AI90" s="315"/>
      <c r="AJ90" s="243"/>
      <c r="AK90" s="617"/>
      <c r="AL90" s="245"/>
      <c r="AM90" s="607"/>
      <c r="AN90" s="614"/>
    </row>
    <row r="91" spans="1:44" ht="15.75">
      <c r="A91" s="218"/>
      <c r="B91" s="216" t="s">
        <v>208</v>
      </c>
      <c r="C91" s="218"/>
      <c r="D91" s="218"/>
      <c r="E91" s="2502"/>
      <c r="F91" s="2502"/>
      <c r="G91" s="2502"/>
      <c r="H91" s="2502"/>
      <c r="I91" s="2502"/>
      <c r="J91" s="2502"/>
      <c r="K91" s="2502"/>
      <c r="L91" s="254"/>
      <c r="M91" s="254"/>
      <c r="N91" s="254"/>
      <c r="O91" s="254"/>
      <c r="P91" s="254"/>
      <c r="Q91" s="254"/>
      <c r="R91" s="254"/>
      <c r="S91" s="254"/>
      <c r="T91" s="254"/>
      <c r="U91" s="254"/>
      <c r="V91" s="254"/>
      <c r="W91" s="254"/>
      <c r="X91" s="254"/>
      <c r="Y91" s="254"/>
      <c r="Z91" s="254"/>
      <c r="AA91" s="254"/>
      <c r="AB91" s="254"/>
      <c r="AC91" s="254"/>
      <c r="AD91" s="254"/>
      <c r="AE91" s="244"/>
      <c r="AF91" s="254"/>
      <c r="AG91" s="267"/>
      <c r="AH91" s="243"/>
      <c r="AI91" s="316"/>
      <c r="AJ91" s="257"/>
      <c r="AK91" s="626"/>
      <c r="AL91" s="245"/>
      <c r="AM91" s="607"/>
      <c r="AN91" s="614"/>
    </row>
    <row r="92" spans="1:44" s="1828" customFormat="1" ht="15.75">
      <c r="A92" s="296"/>
      <c r="B92" s="296" t="s">
        <v>209</v>
      </c>
      <c r="C92" s="296"/>
      <c r="D92" s="296"/>
      <c r="E92" s="1209">
        <f>+'Exhibit I State'!E91+'Exhibit I Federal'!E73</f>
        <v>0</v>
      </c>
      <c r="F92" s="2502"/>
      <c r="G92" s="1209"/>
      <c r="H92" s="1117"/>
      <c r="I92" s="1209"/>
      <c r="J92" s="2502"/>
      <c r="K92" s="1209"/>
      <c r="L92" s="307"/>
      <c r="M92" s="1209"/>
      <c r="N92" s="645"/>
      <c r="O92" s="1209"/>
      <c r="P92" s="307"/>
      <c r="Q92" s="1209"/>
      <c r="R92" s="307"/>
      <c r="S92" s="1209"/>
      <c r="T92" s="307"/>
      <c r="U92" s="1209"/>
      <c r="V92" s="307"/>
      <c r="W92" s="1209"/>
      <c r="X92" s="307"/>
      <c r="Y92" s="1209"/>
      <c r="Z92" s="307"/>
      <c r="AA92" s="1209"/>
      <c r="AB92" s="1813"/>
      <c r="AC92" s="1813">
        <v>0</v>
      </c>
      <c r="AD92" s="307"/>
      <c r="AE92" s="1145"/>
      <c r="AF92" s="308">
        <f>ROUND(SUM(E92:AC92),1)</f>
        <v>0</v>
      </c>
      <c r="AG92" s="1815"/>
      <c r="AH92" s="255"/>
      <c r="AI92" s="316">
        <f>+'Exhibit I State'!AG91+'Exhibit I Federal'!AG73</f>
        <v>0</v>
      </c>
      <c r="AJ92" s="316"/>
      <c r="AK92" s="1857"/>
      <c r="AL92" s="2920">
        <f>ROUND(SUM(+AF92-AI92),1)</f>
        <v>0</v>
      </c>
      <c r="AM92" s="1817"/>
      <c r="AN92" s="2744">
        <f>ROUND(IF(AI92=0,0,AL92/ABS(AI92)),3)</f>
        <v>0</v>
      </c>
    </row>
    <row r="93" spans="1:44" s="1828" customFormat="1" ht="15.75">
      <c r="A93" s="296"/>
      <c r="B93" s="2845" t="s">
        <v>176</v>
      </c>
      <c r="C93" s="296"/>
      <c r="D93" s="296"/>
      <c r="E93" s="1209">
        <f>+'Exhibit I State'!E92+'Exhibit I Federal'!E74</f>
        <v>55.7</v>
      </c>
      <c r="F93" s="2502"/>
      <c r="G93" s="1209"/>
      <c r="H93" s="1209"/>
      <c r="I93" s="1209"/>
      <c r="J93" s="2502"/>
      <c r="K93" s="1209"/>
      <c r="L93" s="307"/>
      <c r="M93" s="1209"/>
      <c r="N93" s="307"/>
      <c r="O93" s="1209"/>
      <c r="P93" s="307"/>
      <c r="Q93" s="1209"/>
      <c r="R93" s="307"/>
      <c r="S93" s="1209"/>
      <c r="T93" s="307"/>
      <c r="U93" s="1209"/>
      <c r="V93" s="307"/>
      <c r="W93" s="1209"/>
      <c r="X93" s="307"/>
      <c r="Y93" s="1209"/>
      <c r="Z93" s="307"/>
      <c r="AA93" s="1209"/>
      <c r="AB93" s="564"/>
      <c r="AC93" s="2914">
        <v>0</v>
      </c>
      <c r="AD93" s="307"/>
      <c r="AE93" s="1145"/>
      <c r="AF93" s="308">
        <f>ROUND(SUM(E93:AC93),1)</f>
        <v>55.7</v>
      </c>
      <c r="AG93" s="1815"/>
      <c r="AH93" s="255"/>
      <c r="AI93" s="307">
        <v>316.5</v>
      </c>
      <c r="AJ93" s="308"/>
      <c r="AK93" s="1816"/>
      <c r="AL93" s="2920">
        <f>ROUND(SUM(+AF93-AI93),1)</f>
        <v>-260.8</v>
      </c>
      <c r="AM93" s="1846"/>
      <c r="AN93" s="2921">
        <f>ROUND(IF(AI93=0,0,AL93/ABS(AI93)),3)</f>
        <v>-0.82399999999999995</v>
      </c>
      <c r="AO93" s="1846"/>
      <c r="AP93" s="1848"/>
    </row>
    <row r="94" spans="1:44" ht="15.75">
      <c r="A94" s="218"/>
      <c r="B94" s="241" t="s">
        <v>210</v>
      </c>
      <c r="C94" s="218"/>
      <c r="D94" s="218"/>
      <c r="E94" s="1209">
        <f>+'Exhibit I State'!E93+'Exhibit I Federal'!E75</f>
        <v>-25.8</v>
      </c>
      <c r="F94" s="2502"/>
      <c r="G94" s="1209"/>
      <c r="H94" s="2502"/>
      <c r="I94" s="1209"/>
      <c r="J94" s="2502"/>
      <c r="K94" s="1209"/>
      <c r="L94" s="307"/>
      <c r="M94" s="1209"/>
      <c r="N94" s="307"/>
      <c r="O94" s="1209"/>
      <c r="P94" s="307"/>
      <c r="Q94" s="1209"/>
      <c r="R94" s="307"/>
      <c r="S94" s="1209"/>
      <c r="T94" s="307"/>
      <c r="U94" s="1209"/>
      <c r="V94" s="307"/>
      <c r="W94" s="1209"/>
      <c r="X94" s="307"/>
      <c r="Y94" s="1209"/>
      <c r="Z94" s="307"/>
      <c r="AA94" s="1209"/>
      <c r="AB94" s="564"/>
      <c r="AC94" s="3292">
        <v>0</v>
      </c>
      <c r="AD94" s="254"/>
      <c r="AE94" s="244"/>
      <c r="AF94" s="265">
        <f>ROUND(SUM(E94:AC94),1)</f>
        <v>-25.8</v>
      </c>
      <c r="AG94" s="267"/>
      <c r="AH94" s="243"/>
      <c r="AI94" s="2926">
        <v>-28.6</v>
      </c>
      <c r="AJ94" s="243"/>
      <c r="AK94" s="617"/>
      <c r="AL94" s="1546">
        <f>ROUND(-SUM(+AF94-AI94),1)</f>
        <v>-2.8</v>
      </c>
      <c r="AM94" s="607"/>
      <c r="AN94" s="1554">
        <f>ROUND(IF(AI94=0,0,AL94/ABS(AI94)),3)</f>
        <v>-9.8000000000000004E-2</v>
      </c>
      <c r="AO94" s="607"/>
      <c r="AP94" s="357"/>
    </row>
    <row r="95" spans="1:44" ht="15.75">
      <c r="A95" s="218"/>
      <c r="B95" s="218"/>
      <c r="C95" s="218"/>
      <c r="D95" s="218"/>
      <c r="E95" s="277"/>
      <c r="F95" s="254"/>
      <c r="G95" s="277"/>
      <c r="H95" s="254"/>
      <c r="I95" s="277"/>
      <c r="J95" s="254"/>
      <c r="K95" s="277"/>
      <c r="L95" s="254"/>
      <c r="M95" s="277"/>
      <c r="N95" s="254"/>
      <c r="O95" s="277"/>
      <c r="P95" s="254"/>
      <c r="Q95" s="277"/>
      <c r="R95" s="254"/>
      <c r="S95" s="277"/>
      <c r="T95" s="254"/>
      <c r="U95" s="277"/>
      <c r="V95" s="254"/>
      <c r="W95" s="277"/>
      <c r="X95" s="254"/>
      <c r="Y95" s="277"/>
      <c r="Z95" s="254"/>
      <c r="AA95" s="277"/>
      <c r="AB95" s="243"/>
      <c r="AC95" s="243"/>
      <c r="AD95" s="254"/>
      <c r="AE95" s="244"/>
      <c r="AF95" s="277"/>
      <c r="AG95" s="267"/>
      <c r="AH95" s="243"/>
      <c r="AI95" s="646"/>
      <c r="AJ95" s="245"/>
      <c r="AK95" s="629"/>
      <c r="AL95" s="245"/>
      <c r="AM95" s="607"/>
      <c r="AN95" s="614"/>
      <c r="AO95" s="357"/>
    </row>
    <row r="96" spans="1:44" ht="15.75">
      <c r="A96" s="218"/>
      <c r="B96" s="216" t="s">
        <v>1311</v>
      </c>
      <c r="C96" s="218"/>
      <c r="D96" s="218"/>
      <c r="E96" s="250">
        <f>ROUND(SUM(E92:E95),1)</f>
        <v>29.9</v>
      </c>
      <c r="F96" s="250"/>
      <c r="G96" s="1587">
        <f>ROUND(SUM(G92:G95),1)</f>
        <v>0</v>
      </c>
      <c r="H96" s="250"/>
      <c r="I96" s="1587">
        <f>ROUND(SUM(I92:I95),1)</f>
        <v>0</v>
      </c>
      <c r="J96" s="250"/>
      <c r="K96" s="1587">
        <f>ROUND(SUM(K92:K95),1)</f>
        <v>0</v>
      </c>
      <c r="L96" s="250"/>
      <c r="M96" s="1587">
        <f>ROUND(SUM(M92:M95),1)</f>
        <v>0</v>
      </c>
      <c r="N96" s="250"/>
      <c r="O96" s="1587">
        <f>ROUND(SUM(O92:O95),1)</f>
        <v>0</v>
      </c>
      <c r="P96" s="250"/>
      <c r="Q96" s="1587">
        <f>ROUND(SUM(Q92:Q95),1)</f>
        <v>0</v>
      </c>
      <c r="R96" s="250"/>
      <c r="S96" s="1587">
        <f>ROUND(SUM(S92:S95),1)</f>
        <v>0</v>
      </c>
      <c r="T96" s="250"/>
      <c r="U96" s="1587">
        <f>ROUND(SUM(U92:U95),1)</f>
        <v>0</v>
      </c>
      <c r="V96" s="250"/>
      <c r="W96" s="1587">
        <f>ROUND(SUM(W92:W95),1)</f>
        <v>0</v>
      </c>
      <c r="X96" s="250"/>
      <c r="Y96" s="1587">
        <f>ROUND(SUM(Y92:Y95),1)</f>
        <v>0</v>
      </c>
      <c r="Z96" s="250"/>
      <c r="AA96" s="1587">
        <f>ROUND(SUM(AA92:AA95),1)</f>
        <v>0</v>
      </c>
      <c r="AB96" s="1587"/>
      <c r="AC96" s="1587">
        <f>ROUND(SUM(AC92:AC95),1)</f>
        <v>0</v>
      </c>
      <c r="AD96" s="250"/>
      <c r="AE96" s="252"/>
      <c r="AF96" s="250">
        <f>ROUND(SUM(AF92:AF95),1)</f>
        <v>29.9</v>
      </c>
      <c r="AG96" s="407"/>
      <c r="AH96" s="264"/>
      <c r="AI96" s="301">
        <f>ROUND(SUM(AI92:AI95),1)</f>
        <v>287.89999999999998</v>
      </c>
      <c r="AJ96" s="264"/>
      <c r="AK96" s="617"/>
      <c r="AL96" s="262">
        <f>ROUND(SUM(AF96-AI96),1)</f>
        <v>-258</v>
      </c>
      <c r="AM96" s="624"/>
      <c r="AN96" s="632">
        <f>ROUND(SUM(AL96/ABS(AI96)),3)</f>
        <v>-0.89600000000000002</v>
      </c>
      <c r="AO96" s="612"/>
      <c r="AP96" s="612"/>
      <c r="AQ96" s="612"/>
      <c r="AR96" s="612"/>
    </row>
    <row r="97" spans="1:55" ht="15.75">
      <c r="A97" s="218"/>
      <c r="B97" s="218"/>
      <c r="C97" s="218"/>
      <c r="D97" s="218"/>
      <c r="E97" s="277"/>
      <c r="F97" s="254"/>
      <c r="G97" s="277"/>
      <c r="H97" s="254"/>
      <c r="I97" s="277"/>
      <c r="J97" s="254"/>
      <c r="K97" s="277"/>
      <c r="L97" s="254"/>
      <c r="M97" s="277"/>
      <c r="N97" s="254"/>
      <c r="O97" s="277"/>
      <c r="P97" s="254"/>
      <c r="Q97" s="277"/>
      <c r="R97" s="254"/>
      <c r="S97" s="277"/>
      <c r="T97" s="254"/>
      <c r="U97" s="277"/>
      <c r="V97" s="254"/>
      <c r="W97" s="277"/>
      <c r="X97" s="254"/>
      <c r="Y97" s="277"/>
      <c r="Z97" s="254"/>
      <c r="AA97" s="277"/>
      <c r="AB97" s="243"/>
      <c r="AC97" s="277"/>
      <c r="AD97" s="254"/>
      <c r="AE97" s="244"/>
      <c r="AF97" s="277"/>
      <c r="AG97" s="267"/>
      <c r="AH97" s="243"/>
      <c r="AI97" s="315"/>
      <c r="AJ97" s="243"/>
      <c r="AK97" s="617"/>
      <c r="AL97" s="245"/>
      <c r="AM97" s="607"/>
      <c r="AN97" s="614"/>
    </row>
    <row r="98" spans="1:55" ht="15.75">
      <c r="A98" s="218"/>
      <c r="B98" s="218"/>
      <c r="C98" s="218"/>
      <c r="D98" s="218"/>
      <c r="E98" s="254"/>
      <c r="F98" s="254"/>
      <c r="G98" s="254"/>
      <c r="H98" s="254"/>
      <c r="I98" s="254" t="s">
        <v>15</v>
      </c>
      <c r="J98" s="254"/>
      <c r="K98" s="254" t="s">
        <v>15</v>
      </c>
      <c r="L98" s="254"/>
      <c r="M98" s="254" t="s">
        <v>15</v>
      </c>
      <c r="N98" s="254"/>
      <c r="O98" s="254" t="s">
        <v>15</v>
      </c>
      <c r="P98" s="254"/>
      <c r="Q98" s="254" t="s">
        <v>15</v>
      </c>
      <c r="R98" s="254"/>
      <c r="S98" s="254" t="s">
        <v>15</v>
      </c>
      <c r="T98" s="254"/>
      <c r="U98" s="254" t="s">
        <v>15</v>
      </c>
      <c r="V98" s="254"/>
      <c r="W98" s="254" t="s">
        <v>15</v>
      </c>
      <c r="X98" s="254"/>
      <c r="Y98" s="254" t="s">
        <v>15</v>
      </c>
      <c r="Z98" s="254"/>
      <c r="AA98" s="254" t="s">
        <v>15</v>
      </c>
      <c r="AB98" s="254"/>
      <c r="AC98" s="254" t="s">
        <v>15</v>
      </c>
      <c r="AD98" s="254"/>
      <c r="AE98" s="244"/>
      <c r="AF98" s="254" t="s">
        <v>15</v>
      </c>
      <c r="AG98" s="267"/>
      <c r="AH98" s="243"/>
      <c r="AI98" s="307" t="s">
        <v>15</v>
      </c>
      <c r="AJ98" s="254"/>
      <c r="AK98" s="617"/>
      <c r="AL98" s="245" t="s">
        <v>15</v>
      </c>
      <c r="AM98" s="607"/>
      <c r="AN98" s="614"/>
    </row>
    <row r="99" spans="1:55" ht="15.75">
      <c r="A99" s="218"/>
      <c r="B99" s="216" t="s">
        <v>212</v>
      </c>
      <c r="C99" s="218"/>
      <c r="D99" s="218"/>
      <c r="E99" s="254"/>
      <c r="F99" s="254"/>
      <c r="G99" s="254"/>
      <c r="H99" s="254"/>
      <c r="I99" s="254" t="s">
        <v>15</v>
      </c>
      <c r="J99" s="254"/>
      <c r="K99" s="254" t="s">
        <v>15</v>
      </c>
      <c r="L99" s="254"/>
      <c r="M99" s="254" t="s">
        <v>15</v>
      </c>
      <c r="N99" s="254"/>
      <c r="O99" s="254" t="s">
        <v>15</v>
      </c>
      <c r="P99" s="254"/>
      <c r="Q99" s="254" t="s">
        <v>15</v>
      </c>
      <c r="R99" s="254"/>
      <c r="S99" s="254" t="s">
        <v>15</v>
      </c>
      <c r="T99" s="254"/>
      <c r="U99" s="254" t="s">
        <v>15</v>
      </c>
      <c r="V99" s="254"/>
      <c r="W99" s="254" t="s">
        <v>15</v>
      </c>
      <c r="X99" s="254"/>
      <c r="Y99" s="254" t="s">
        <v>15</v>
      </c>
      <c r="Z99" s="254"/>
      <c r="AA99" s="254" t="s">
        <v>15</v>
      </c>
      <c r="AB99" s="254"/>
      <c r="AC99" s="254" t="s">
        <v>15</v>
      </c>
      <c r="AD99" s="254"/>
      <c r="AE99" s="244"/>
      <c r="AF99" s="254"/>
      <c r="AG99" s="267"/>
      <c r="AH99" s="243"/>
      <c r="AI99" s="307" t="s">
        <v>15</v>
      </c>
      <c r="AJ99" s="254"/>
      <c r="AK99" s="617"/>
      <c r="AL99" s="245"/>
      <c r="AM99" s="607"/>
      <c r="AN99" s="614"/>
    </row>
    <row r="100" spans="1:55" ht="15.75">
      <c r="A100" s="218"/>
      <c r="B100" s="216" t="s">
        <v>213</v>
      </c>
      <c r="C100" s="218"/>
      <c r="D100" s="218"/>
      <c r="E100" s="250" t="s">
        <v>15</v>
      </c>
      <c r="F100" s="250"/>
      <c r="G100" s="1587" t="s">
        <v>15</v>
      </c>
      <c r="H100" s="250"/>
      <c r="I100" s="250"/>
      <c r="J100" s="250"/>
      <c r="K100" s="1587"/>
      <c r="L100" s="250"/>
      <c r="M100" s="1587"/>
      <c r="N100" s="250"/>
      <c r="O100" s="1587"/>
      <c r="P100" s="250"/>
      <c r="Q100" s="1587"/>
      <c r="R100" s="250"/>
      <c r="S100" s="1587"/>
      <c r="T100" s="250"/>
      <c r="U100" s="1587"/>
      <c r="V100" s="250"/>
      <c r="W100" s="1587"/>
      <c r="X100" s="250"/>
      <c r="Y100" s="1587"/>
      <c r="Z100" s="250"/>
      <c r="AA100" s="1587"/>
      <c r="AB100" s="1587"/>
      <c r="AC100" s="1587"/>
      <c r="AD100" s="250"/>
      <c r="AE100" s="252"/>
      <c r="AF100" s="250" t="s">
        <v>15</v>
      </c>
      <c r="AG100" s="407"/>
      <c r="AH100" s="264"/>
      <c r="AI100" s="2927"/>
      <c r="AJ100" s="630"/>
      <c r="AK100" s="629"/>
      <c r="AL100" s="630"/>
      <c r="AM100" s="624"/>
      <c r="AN100" s="611"/>
      <c r="AO100" s="612"/>
      <c r="AP100" s="612"/>
      <c r="AQ100" s="612"/>
      <c r="AR100" s="612"/>
      <c r="AS100" s="612"/>
      <c r="AT100" s="612"/>
      <c r="AU100" s="612"/>
      <c r="AV100" s="612"/>
      <c r="AW100" s="612"/>
      <c r="AX100" s="612"/>
      <c r="AY100" s="612"/>
    </row>
    <row r="101" spans="1:55" ht="15.75">
      <c r="A101" s="218"/>
      <c r="B101" s="216" t="s">
        <v>1302</v>
      </c>
      <c r="C101" s="218"/>
      <c r="D101" s="218"/>
      <c r="E101" s="631">
        <f>ROUND(SUM(E89+E96),1)</f>
        <v>-90</v>
      </c>
      <c r="F101" s="250"/>
      <c r="G101" s="631">
        <f>ROUND(SUM(G89+G96),1)</f>
        <v>0</v>
      </c>
      <c r="H101" s="250"/>
      <c r="I101" s="631">
        <f>ROUND(SUM(I89+I96),1)</f>
        <v>0</v>
      </c>
      <c r="J101" s="250"/>
      <c r="K101" s="631">
        <f>ROUND(SUM(K89+K96),1)</f>
        <v>0</v>
      </c>
      <c r="L101" s="250"/>
      <c r="M101" s="631">
        <f>ROUND(SUM(M89+M96),1)</f>
        <v>0</v>
      </c>
      <c r="N101" s="250"/>
      <c r="O101" s="631">
        <f>ROUND(SUM(O89+O96),1)</f>
        <v>0</v>
      </c>
      <c r="P101" s="250"/>
      <c r="Q101" s="631">
        <f>ROUND(SUM(Q89+Q96),1)</f>
        <v>0</v>
      </c>
      <c r="R101" s="250"/>
      <c r="S101" s="631">
        <f>ROUND(SUM(S89+S96),1)</f>
        <v>0</v>
      </c>
      <c r="T101" s="250"/>
      <c r="U101" s="631">
        <f>ROUND(SUM(U89+U96),1)</f>
        <v>0</v>
      </c>
      <c r="V101" s="250"/>
      <c r="W101" s="631">
        <f>ROUND(SUM(W89+W96),1)</f>
        <v>0</v>
      </c>
      <c r="X101" s="250"/>
      <c r="Y101" s="631">
        <f>ROUND(SUM(Y89+Y96),1)</f>
        <v>0</v>
      </c>
      <c r="Z101" s="250"/>
      <c r="AA101" s="631">
        <f>ROUND(SUM(AA89+AA96),1)</f>
        <v>0</v>
      </c>
      <c r="AB101" s="3262"/>
      <c r="AC101" s="631">
        <f>ROUND(SUM(AC89+AC96),1)</f>
        <v>0</v>
      </c>
      <c r="AD101" s="250"/>
      <c r="AE101" s="252"/>
      <c r="AF101" s="631">
        <f>ROUND(AF89+AF96,1)</f>
        <v>-90</v>
      </c>
      <c r="AG101" s="407"/>
      <c r="AH101" s="264"/>
      <c r="AI101" s="2928">
        <f>ROUND(SUM(AI89+AI96),1)</f>
        <v>13.5</v>
      </c>
      <c r="AJ101" s="630"/>
      <c r="AK101" s="629"/>
      <c r="AL101" s="631">
        <f>ROUND(SUM(+AF101-AI101),1)</f>
        <v>-103.5</v>
      </c>
      <c r="AM101" s="624"/>
      <c r="AN101" s="2682">
        <f>ROUND(IF(AI101=0,0,AL101/ABS(AI101)),3)</f>
        <v>-7.6669999999999998</v>
      </c>
      <c r="AO101" s="612"/>
      <c r="AP101" s="633"/>
      <c r="AQ101" s="612"/>
      <c r="AR101" s="612"/>
      <c r="AS101" s="612"/>
      <c r="AT101" s="612"/>
      <c r="AU101" s="612"/>
      <c r="AV101" s="612"/>
      <c r="AW101" s="612"/>
      <c r="AX101" s="612"/>
      <c r="AY101" s="612"/>
    </row>
    <row r="102" spans="1:55">
      <c r="A102" s="218"/>
      <c r="B102" s="218" t="s">
        <v>15</v>
      </c>
      <c r="C102" s="218"/>
      <c r="D102" s="218"/>
      <c r="E102" s="223"/>
      <c r="F102" s="223"/>
      <c r="G102" s="223"/>
      <c r="H102" s="223"/>
      <c r="I102" s="223"/>
      <c r="J102" s="223"/>
      <c r="K102" s="223"/>
      <c r="L102" s="223"/>
      <c r="M102" s="223"/>
      <c r="N102" s="223"/>
      <c r="O102" s="223"/>
      <c r="P102" s="223"/>
      <c r="Q102" s="223"/>
      <c r="R102" s="223"/>
      <c r="S102" s="508" t="s">
        <v>15</v>
      </c>
      <c r="T102" s="223"/>
      <c r="U102" s="508" t="s">
        <v>15</v>
      </c>
      <c r="V102" s="223"/>
      <c r="W102" s="508" t="s">
        <v>15</v>
      </c>
      <c r="X102" s="223"/>
      <c r="Y102" s="508" t="s">
        <v>15</v>
      </c>
      <c r="Z102" s="223"/>
      <c r="AA102" s="223"/>
      <c r="AB102" s="223"/>
      <c r="AC102" s="223"/>
      <c r="AD102" s="288"/>
      <c r="AE102" s="634"/>
      <c r="AF102" s="223"/>
      <c r="AG102" s="288"/>
      <c r="AH102" s="634"/>
      <c r="AI102" s="1712" t="s">
        <v>186</v>
      </c>
      <c r="AJ102" s="490"/>
      <c r="AK102" s="224"/>
      <c r="AL102" s="607"/>
      <c r="AM102" s="607"/>
      <c r="AN102" s="614"/>
      <c r="AO102" s="607"/>
      <c r="AP102" s="607"/>
    </row>
    <row r="103" spans="1:55" s="217" customFormat="1" ht="15" customHeight="1" thickBot="1">
      <c r="A103" s="218"/>
      <c r="B103" s="216" t="s">
        <v>1312</v>
      </c>
      <c r="C103" s="218"/>
      <c r="E103" s="479">
        <f>ROUND(SUM(+E101+E15),1)</f>
        <v>-1241.2</v>
      </c>
      <c r="F103" s="283"/>
      <c r="G103" s="479">
        <f>ROUND(SUM(+G101+G15),1)</f>
        <v>0</v>
      </c>
      <c r="H103" s="283"/>
      <c r="I103" s="479">
        <f>ROUND(SUM(+I101+I15),1)</f>
        <v>0</v>
      </c>
      <c r="J103" s="283"/>
      <c r="K103" s="479">
        <f>ROUND(SUM(+K101+K15),1)</f>
        <v>0</v>
      </c>
      <c r="L103" s="283"/>
      <c r="M103" s="479">
        <f>ROUND(SUM(+M101+M15),1)</f>
        <v>0</v>
      </c>
      <c r="N103" s="283"/>
      <c r="O103" s="479">
        <f>ROUND(SUM(+O101+O15),1)</f>
        <v>0</v>
      </c>
      <c r="P103" s="283"/>
      <c r="Q103" s="479">
        <f>ROUND(SUM(+Q101+Q15),1)</f>
        <v>0</v>
      </c>
      <c r="R103" s="283"/>
      <c r="S103" s="479">
        <f>ROUND(SUM(+S101+S15),1)</f>
        <v>0</v>
      </c>
      <c r="T103" s="283"/>
      <c r="U103" s="479">
        <f>ROUND(SUM(+U101+U15),1)</f>
        <v>0</v>
      </c>
      <c r="V103" s="283"/>
      <c r="W103" s="479">
        <f>ROUND(SUM(+W101+W15),1)</f>
        <v>0</v>
      </c>
      <c r="X103" s="283"/>
      <c r="Y103" s="479">
        <f>ROUND(SUM(+Y101+Y15),1)</f>
        <v>0</v>
      </c>
      <c r="Z103" s="283"/>
      <c r="AA103" s="479">
        <f>ROUND(SUM(+AA101+AA15),1)</f>
        <v>0</v>
      </c>
      <c r="AB103" s="410"/>
      <c r="AC103" s="479">
        <f>ROUND(SUM(+AC101+AC15),1)</f>
        <v>0</v>
      </c>
      <c r="AD103" s="283"/>
      <c r="AE103" s="284"/>
      <c r="AF103" s="479">
        <f>ROUND(SUM(+AF101+AF15),1)</f>
        <v>-1241.2</v>
      </c>
      <c r="AG103" s="283"/>
      <c r="AH103" s="284"/>
      <c r="AI103" s="468">
        <f>ROUND(SUM(+AI101+AI15),1)</f>
        <v>-1047</v>
      </c>
      <c r="AJ103" s="487"/>
      <c r="AK103" s="410"/>
      <c r="AL103" s="479">
        <f>ROUND(SUM(+AL101+AL15),1)</f>
        <v>-194.2</v>
      </c>
      <c r="AM103" s="372"/>
      <c r="AN103" s="506">
        <f>ROUND(SUM(-(+AF103-AI103)/AI103),3)</f>
        <v>-0.185</v>
      </c>
      <c r="AO103" s="624"/>
      <c r="AP103" s="624"/>
      <c r="AQ103" s="612"/>
      <c r="AR103" s="612"/>
      <c r="AS103" s="482"/>
      <c r="AT103" s="482"/>
      <c r="AU103" s="482"/>
      <c r="AV103" s="482"/>
      <c r="AW103" s="482"/>
      <c r="AX103" s="482"/>
      <c r="AY103" s="482"/>
      <c r="AZ103" s="482"/>
      <c r="BA103" s="482"/>
      <c r="BB103" s="482"/>
      <c r="BC103" s="482"/>
    </row>
    <row r="104" spans="1:55" ht="15.75" thickTop="1">
      <c r="B104" s="411"/>
    </row>
    <row r="105" spans="1:55">
      <c r="B105" s="2014" t="s">
        <v>1435</v>
      </c>
      <c r="C105" s="636"/>
      <c r="D105" s="636"/>
      <c r="E105" s="637"/>
      <c r="F105" s="637"/>
      <c r="G105" s="637"/>
      <c r="AI105" s="2929"/>
      <c r="AL105" s="357"/>
    </row>
    <row r="106" spans="1:55">
      <c r="B106" s="635"/>
      <c r="C106" s="636"/>
      <c r="D106" s="636"/>
      <c r="E106" s="637"/>
      <c r="F106" s="637"/>
      <c r="G106" s="637"/>
      <c r="AL106" s="357"/>
    </row>
    <row r="107" spans="1:55">
      <c r="B107" s="639"/>
      <c r="AL107" s="357"/>
    </row>
    <row r="108" spans="1:55">
      <c r="B108" s="639"/>
    </row>
    <row r="109" spans="1:55">
      <c r="B109" s="635"/>
    </row>
    <row r="110" spans="1:55">
      <c r="B110" s="639"/>
    </row>
    <row r="111" spans="1:55">
      <c r="B111" s="639"/>
    </row>
    <row r="112" spans="1:55">
      <c r="B112" s="635"/>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F11:AN11"/>
  </mergeCells>
  <pageMargins left="0.5" right="0.2" top="0.75" bottom="0.5" header="0" footer="0.25"/>
  <pageSetup scale="39" firstPageNumber="29" orientation="landscape" useFirstPageNumber="1" r:id="rId2"/>
  <headerFooter scaleWithDoc="0" alignWithMargins="0">
    <oddFooter>&amp;C&amp;8&amp;P</oddFooter>
  </headerFooter>
  <rowBreaks count="1" manualBreakCount="1">
    <brk id="66" min="1" max="37" man="1"/>
  </rowBreaks>
  <ignoredErrors>
    <ignoredError sqref="AN40 AN61:AN62 AN29 AN32 AN34:AN36 AN64:AN68 AN90:AN91 AN72:AN74 AN77:AN88 AN51:AN52 AN20:AN25 AN93:AN95" unlockedFormula="1"/>
    <ignoredError sqref="AN47 AN53 AN58:AN59 AN26 AN55" formula="1" unlockedFormula="1"/>
    <ignoredError sqref="AN49:AN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09"/>
  <sheetViews>
    <sheetView showGridLines="0" zoomScale="70" zoomScaleNormal="70" workbookViewId="0"/>
  </sheetViews>
  <sheetFormatPr defaultColWidth="8.88671875" defaultRowHeight="15"/>
  <cols>
    <col min="1" max="1" width="2.5546875" style="290" customWidth="1"/>
    <col min="2" max="2" width="14.33203125" style="290" customWidth="1"/>
    <col min="3" max="3" width="26.33203125" style="290" customWidth="1"/>
    <col min="4" max="4" width="2" style="290" customWidth="1"/>
    <col min="5" max="5" width="11.109375" style="1828" bestFit="1" customWidth="1"/>
    <col min="6" max="6" width="1.77734375" style="1828" customWidth="1"/>
    <col min="7" max="7" width="11.77734375" style="1828" customWidth="1"/>
    <col min="8" max="8" width="1.77734375" style="1828" customWidth="1"/>
    <col min="9" max="9" width="11.109375" style="1828" bestFit="1" customWidth="1"/>
    <col min="10" max="10" width="1.77734375" style="1828" customWidth="1"/>
    <col min="11" max="11" width="12" style="1828" customWidth="1"/>
    <col min="12" max="12" width="1.21875" style="290" customWidth="1"/>
    <col min="13" max="13" width="10.33203125" style="290" bestFit="1" customWidth="1"/>
    <col min="14" max="14" width="1.77734375" style="290" customWidth="1"/>
    <col min="15" max="15" width="11.33203125" style="290" customWidth="1"/>
    <col min="16" max="16" width="1.77734375" style="290" customWidth="1"/>
    <col min="17" max="17" width="12.6640625" style="290" customWidth="1"/>
    <col min="18" max="18" width="1.77734375" style="290" customWidth="1"/>
    <col min="19" max="19" width="10.5546875" style="290" customWidth="1"/>
    <col min="20" max="20" width="1.77734375" style="290" customWidth="1"/>
    <col min="21" max="21" width="10.6640625" style="290" customWidth="1"/>
    <col min="22" max="22" width="1.77734375" style="290" customWidth="1"/>
    <col min="23" max="23" width="10.88671875" style="290" customWidth="1"/>
    <col min="24" max="24" width="1.77734375" style="290" customWidth="1"/>
    <col min="25" max="25" width="10.77734375" style="290" customWidth="1"/>
    <col min="26" max="26" width="1.77734375" style="290" customWidth="1"/>
    <col min="27" max="27" width="9" style="290" bestFit="1" customWidth="1"/>
    <col min="28" max="29" width="1.77734375" style="1828" customWidth="1"/>
    <col min="30" max="30" width="11.109375" style="1828" bestFit="1" customWidth="1"/>
    <col min="31" max="32" width="1.109375" style="1828" customWidth="1"/>
    <col min="33" max="33" width="11.33203125" style="1828" customWidth="1"/>
    <col min="34" max="35" width="1" style="1828" customWidth="1"/>
    <col min="36" max="36" width="13.44140625" style="1828" bestFit="1" customWidth="1"/>
    <col min="37" max="37" width="1.33203125" style="290" customWidth="1"/>
    <col min="38" max="38" width="12.88671875" style="290" customWidth="1"/>
    <col min="39" max="40" width="8.88671875" style="290"/>
    <col min="41" max="41" width="19.6640625" style="290" bestFit="1" customWidth="1"/>
    <col min="42" max="16384" width="8.88671875" style="290"/>
  </cols>
  <sheetData>
    <row r="1" spans="1:39">
      <c r="B1" s="1052" t="s">
        <v>1064</v>
      </c>
    </row>
    <row r="2" spans="1:39">
      <c r="B2" s="1456"/>
    </row>
    <row r="3" spans="1:39" ht="19.5" customHeight="1">
      <c r="A3" s="596"/>
      <c r="B3" s="511" t="s">
        <v>0</v>
      </c>
      <c r="C3" s="597"/>
      <c r="D3" s="597"/>
      <c r="E3" s="1829"/>
      <c r="F3" s="1830"/>
      <c r="G3" s="1830"/>
      <c r="H3" s="1830"/>
      <c r="I3" s="1830"/>
      <c r="J3" s="1830"/>
      <c r="K3" s="1830"/>
      <c r="L3" s="598"/>
      <c r="M3" s="598"/>
      <c r="N3" s="598"/>
      <c r="O3" s="598"/>
      <c r="P3" s="598"/>
      <c r="Q3" s="598"/>
      <c r="R3" s="598"/>
      <c r="S3" s="598"/>
      <c r="T3" s="598"/>
      <c r="U3" s="598"/>
      <c r="V3" s="598"/>
      <c r="W3" s="598"/>
      <c r="X3" s="598"/>
      <c r="Y3" s="598"/>
      <c r="Z3" s="598"/>
      <c r="AA3" s="598"/>
      <c r="AB3" s="1830"/>
      <c r="AC3" s="1830"/>
      <c r="AD3" s="1830"/>
      <c r="AE3" s="1830"/>
      <c r="AF3" s="1830"/>
      <c r="AG3" s="1830"/>
      <c r="AH3" s="1830"/>
      <c r="AI3" s="1830"/>
      <c r="AL3" s="690" t="s">
        <v>197</v>
      </c>
    </row>
    <row r="4" spans="1:39" ht="19.5" customHeight="1">
      <c r="A4" s="596"/>
      <c r="B4" s="511" t="s">
        <v>214</v>
      </c>
      <c r="C4" s="597"/>
      <c r="D4" s="597"/>
      <c r="E4" s="1829"/>
      <c r="F4" s="1830"/>
      <c r="G4" s="1830"/>
      <c r="H4" s="1830"/>
      <c r="I4" s="1830"/>
      <c r="J4" s="1830"/>
      <c r="K4" s="1830"/>
      <c r="L4" s="598"/>
      <c r="M4" s="598"/>
      <c r="N4" s="598"/>
      <c r="O4" s="598"/>
      <c r="P4" s="598"/>
      <c r="Q4" s="598"/>
      <c r="R4" s="598"/>
      <c r="S4" s="598"/>
      <c r="T4" s="598"/>
      <c r="U4" s="598"/>
      <c r="V4" s="598"/>
      <c r="W4" s="598"/>
      <c r="X4" s="598"/>
      <c r="Y4" s="598"/>
      <c r="Z4" s="598"/>
      <c r="AA4" s="598"/>
      <c r="AB4" s="1830"/>
      <c r="AC4" s="1830"/>
      <c r="AE4" s="1837"/>
      <c r="AF4" s="1837"/>
    </row>
    <row r="5" spans="1:39" ht="19.5" customHeight="1">
      <c r="A5" s="596"/>
      <c r="B5" s="2506" t="s">
        <v>150</v>
      </c>
      <c r="C5" s="597"/>
      <c r="D5" s="597"/>
      <c r="E5" s="1829"/>
      <c r="F5" s="1830"/>
      <c r="G5" s="1830"/>
      <c r="H5" s="1830"/>
      <c r="I5" s="1830"/>
      <c r="J5" s="1830"/>
      <c r="K5" s="1830"/>
      <c r="L5" s="598"/>
      <c r="M5" s="598"/>
      <c r="N5" s="598"/>
      <c r="O5" s="598"/>
      <c r="P5" s="598"/>
      <c r="Q5" s="598"/>
      <c r="R5" s="598"/>
      <c r="S5" s="598"/>
      <c r="T5" s="598"/>
      <c r="U5" s="598"/>
      <c r="V5" s="598"/>
      <c r="W5" s="598"/>
      <c r="X5" s="598"/>
      <c r="Y5" s="598"/>
      <c r="Z5" s="598"/>
      <c r="AA5" s="598"/>
      <c r="AB5" s="1830"/>
      <c r="AC5" s="1830"/>
      <c r="AD5" s="1830"/>
      <c r="AE5" s="1830"/>
      <c r="AF5" s="1830"/>
      <c r="AG5" s="1830"/>
      <c r="AH5" s="1830"/>
      <c r="AI5" s="1830"/>
      <c r="AL5" s="483"/>
    </row>
    <row r="6" spans="1:39" ht="19.5" customHeight="1">
      <c r="A6" s="596"/>
      <c r="B6" s="2506" t="str">
        <f>'Cashflow Governmental'!A6</f>
        <v>FISCAL YEAR 2018-2019</v>
      </c>
      <c r="C6" s="597"/>
      <c r="D6" s="597"/>
      <c r="E6" s="1829"/>
      <c r="F6" s="1830"/>
      <c r="G6" s="1830"/>
      <c r="H6" s="1831"/>
      <c r="I6" s="1830"/>
      <c r="J6" s="1830"/>
      <c r="K6" s="1830"/>
      <c r="L6" s="598"/>
      <c r="M6" s="598"/>
      <c r="N6" s="598"/>
      <c r="O6" s="598"/>
      <c r="P6" s="598"/>
      <c r="Q6" s="598"/>
      <c r="R6" s="598"/>
      <c r="S6" s="598"/>
      <c r="T6" s="598"/>
      <c r="U6" s="598"/>
      <c r="V6" s="598"/>
      <c r="W6" s="598"/>
      <c r="X6" s="598"/>
      <c r="Y6" s="598"/>
      <c r="Z6" s="598"/>
      <c r="AA6" s="598"/>
      <c r="AB6" s="1830"/>
      <c r="AC6" s="1830"/>
      <c r="AD6" s="1830"/>
      <c r="AE6" s="1838"/>
      <c r="AF6" s="1838"/>
      <c r="AG6" s="1838"/>
      <c r="AH6" s="1838"/>
      <c r="AI6" s="1838"/>
    </row>
    <row r="7" spans="1:39" ht="19.5" customHeight="1">
      <c r="A7" s="596"/>
      <c r="B7" s="602" t="s">
        <v>958</v>
      </c>
      <c r="C7" s="597"/>
      <c r="D7" s="597"/>
      <c r="E7" s="1829"/>
      <c r="F7" s="1830"/>
      <c r="G7" s="1830"/>
      <c r="H7" s="1831"/>
      <c r="I7" s="1830"/>
      <c r="J7" s="1830"/>
      <c r="K7" s="1830"/>
      <c r="L7" s="598"/>
      <c r="M7" s="598"/>
      <c r="N7" s="598"/>
      <c r="O7" s="598"/>
      <c r="P7" s="598"/>
      <c r="Q7" s="598"/>
      <c r="R7" s="598"/>
      <c r="S7" s="598"/>
      <c r="T7" s="598"/>
      <c r="U7" s="598"/>
      <c r="V7" s="598"/>
      <c r="W7" s="598"/>
      <c r="X7" s="598"/>
      <c r="Y7" s="598"/>
      <c r="Z7" s="598"/>
      <c r="AA7" s="598"/>
      <c r="AB7" s="1830"/>
      <c r="AC7" s="1830"/>
      <c r="AD7" s="1830"/>
      <c r="AE7" s="1838"/>
      <c r="AF7" s="1838"/>
      <c r="AG7" s="1838"/>
      <c r="AH7" s="1838"/>
      <c r="AI7" s="1838"/>
    </row>
    <row r="8" spans="1:39" ht="19.5" customHeight="1">
      <c r="A8" s="596"/>
      <c r="C8" s="597"/>
      <c r="D8" s="597"/>
      <c r="E8" s="1829"/>
      <c r="F8" s="1830"/>
      <c r="G8" s="1830"/>
      <c r="H8" s="1830"/>
      <c r="I8" s="1830"/>
      <c r="J8" s="1830"/>
      <c r="K8" s="1830"/>
      <c r="L8" s="598"/>
      <c r="M8" s="598"/>
      <c r="N8" s="598"/>
      <c r="O8" s="598"/>
      <c r="P8" s="598"/>
      <c r="Q8" s="598"/>
      <c r="R8" s="598"/>
      <c r="S8" s="598"/>
      <c r="T8" s="598"/>
      <c r="U8" s="598"/>
      <c r="V8" s="598"/>
      <c r="W8" s="598"/>
      <c r="X8" s="598"/>
      <c r="Y8" s="598"/>
      <c r="Z8" s="598"/>
      <c r="AA8" s="598"/>
      <c r="AB8" s="1830"/>
      <c r="AC8" s="1839"/>
    </row>
    <row r="9" spans="1:39" ht="15.75" customHeight="1">
      <c r="A9" s="596"/>
      <c r="B9" s="602"/>
      <c r="C9" s="597"/>
      <c r="D9" s="597"/>
      <c r="E9" s="1829"/>
      <c r="F9" s="1830"/>
      <c r="G9" s="1830"/>
      <c r="H9" s="1830"/>
      <c r="I9" s="1830"/>
      <c r="J9" s="1830"/>
      <c r="K9" s="1830"/>
      <c r="L9" s="598"/>
      <c r="M9" s="598"/>
      <c r="N9" s="598"/>
      <c r="O9" s="598"/>
      <c r="P9" s="598"/>
      <c r="Q9" s="598"/>
      <c r="R9" s="598"/>
      <c r="S9" s="598"/>
      <c r="T9" s="598"/>
      <c r="U9" s="598"/>
      <c r="V9" s="598"/>
      <c r="W9" s="598"/>
      <c r="X9" s="598"/>
      <c r="Y9" s="598"/>
      <c r="Z9" s="598"/>
      <c r="AA9" s="598"/>
      <c r="AB9" s="1830"/>
      <c r="AC9" s="1839"/>
    </row>
    <row r="10" spans="1:39" ht="15.75" customHeight="1">
      <c r="A10" s="596"/>
      <c r="B10" s="604"/>
      <c r="C10" s="597"/>
      <c r="D10" s="597"/>
      <c r="E10" s="1829"/>
      <c r="F10" s="1830"/>
      <c r="G10" s="1830"/>
      <c r="H10" s="1830"/>
      <c r="I10" s="1830"/>
      <c r="J10" s="1830"/>
      <c r="K10" s="1830"/>
      <c r="L10" s="598"/>
      <c r="M10" s="598"/>
      <c r="N10" s="598"/>
      <c r="O10" s="598"/>
      <c r="P10" s="598"/>
      <c r="Q10" s="598"/>
      <c r="R10" s="598"/>
      <c r="S10" s="598"/>
      <c r="T10" s="598"/>
      <c r="U10" s="598"/>
      <c r="V10" s="598"/>
      <c r="W10" s="598"/>
      <c r="X10" s="598"/>
      <c r="Y10" s="598"/>
      <c r="Z10" s="598"/>
      <c r="AA10" s="598"/>
      <c r="AB10" s="1830"/>
      <c r="AC10" s="1839"/>
      <c r="AD10" s="3753" t="s">
        <v>1466</v>
      </c>
      <c r="AE10" s="3753"/>
      <c r="AF10" s="3753"/>
      <c r="AG10" s="3753"/>
      <c r="AH10" s="3753"/>
      <c r="AI10" s="3753"/>
      <c r="AJ10" s="3753"/>
      <c r="AK10" s="3753"/>
      <c r="AL10" s="3753"/>
    </row>
    <row r="11" spans="1:39" ht="15.75" customHeight="1">
      <c r="A11" s="605"/>
      <c r="B11" s="605"/>
      <c r="C11" s="605"/>
      <c r="D11" s="605"/>
      <c r="E11" s="1283" t="str">
        <f>'Cashflow Governmental'!C13</f>
        <v>2018</v>
      </c>
      <c r="F11" s="1832"/>
      <c r="G11" s="1832"/>
      <c r="H11" s="1832"/>
      <c r="I11" s="1832"/>
      <c r="J11" s="1832"/>
      <c r="K11" s="1832"/>
      <c r="L11" s="1321"/>
      <c r="M11" s="1321"/>
      <c r="N11" s="1321"/>
      <c r="O11" s="1321"/>
      <c r="P11" s="1321"/>
      <c r="Q11" s="1321"/>
      <c r="R11" s="1321"/>
      <c r="S11" s="1321"/>
      <c r="T11" s="1321"/>
      <c r="U11" s="1321"/>
      <c r="V11" s="1321"/>
      <c r="W11" s="1293" t="str">
        <f>'Cashflow Governmental'!U13</f>
        <v>2019</v>
      </c>
      <c r="X11" s="1321"/>
      <c r="Y11" s="1321"/>
      <c r="Z11" s="1321"/>
      <c r="AA11" s="1321"/>
      <c r="AB11" s="1832"/>
      <c r="AC11" s="1832"/>
      <c r="AD11" s="1841"/>
      <c r="AE11" s="1841"/>
      <c r="AF11" s="1841"/>
      <c r="AG11" s="1841"/>
      <c r="AH11" s="1841"/>
      <c r="AI11" s="1841"/>
      <c r="AJ11" s="1842" t="s">
        <v>8</v>
      </c>
      <c r="AK11" s="1299"/>
      <c r="AL11" s="1294" t="s">
        <v>9</v>
      </c>
      <c r="AM11" s="1325"/>
    </row>
    <row r="12" spans="1:39" ht="15.75" customHeight="1">
      <c r="A12" s="218"/>
      <c r="B12" s="218"/>
      <c r="C12" s="218"/>
      <c r="D12" s="218"/>
      <c r="E12" s="1323" t="s">
        <v>126</v>
      </c>
      <c r="F12" s="294"/>
      <c r="G12" s="1323" t="s">
        <v>127</v>
      </c>
      <c r="H12" s="294"/>
      <c r="I12" s="1323" t="s">
        <v>128</v>
      </c>
      <c r="J12" s="294"/>
      <c r="K12" s="1323" t="s">
        <v>129</v>
      </c>
      <c r="L12" s="216"/>
      <c r="M12" s="1275" t="s">
        <v>130</v>
      </c>
      <c r="N12" s="216"/>
      <c r="O12" s="1275" t="s">
        <v>145</v>
      </c>
      <c r="P12" s="216"/>
      <c r="Q12" s="1275" t="s">
        <v>146</v>
      </c>
      <c r="R12" s="216"/>
      <c r="S12" s="1275" t="s">
        <v>133</v>
      </c>
      <c r="T12" s="216"/>
      <c r="U12" s="1275" t="s">
        <v>134</v>
      </c>
      <c r="V12" s="216"/>
      <c r="W12" s="1275" t="s">
        <v>135</v>
      </c>
      <c r="X12" s="216"/>
      <c r="Y12" s="1275" t="s">
        <v>136</v>
      </c>
      <c r="Z12" s="216"/>
      <c r="AA12" s="1275" t="s">
        <v>188</v>
      </c>
      <c r="AB12" s="294"/>
      <c r="AC12" s="294"/>
      <c r="AD12" s="1323" t="str">
        <f>'Cashflow Governmental'!AB14</f>
        <v>2018</v>
      </c>
      <c r="AE12" s="294"/>
      <c r="AF12" s="294"/>
      <c r="AG12" s="1323" t="str">
        <f>'Cashflow Governmental'!AE14</f>
        <v>2017</v>
      </c>
      <c r="AH12" s="1324"/>
      <c r="AI12" s="1324"/>
      <c r="AJ12" s="1843" t="s">
        <v>12</v>
      </c>
      <c r="AK12" s="1297"/>
      <c r="AL12" s="1306" t="s">
        <v>13</v>
      </c>
      <c r="AM12" s="1325"/>
    </row>
    <row r="13" spans="1:39" ht="5.25" customHeight="1">
      <c r="A13" s="218"/>
      <c r="B13" s="216"/>
      <c r="C13" s="216"/>
      <c r="D13" s="218"/>
      <c r="E13" s="329"/>
      <c r="F13" s="329"/>
      <c r="G13" s="329"/>
      <c r="H13" s="329"/>
      <c r="I13" s="329"/>
      <c r="J13" s="329"/>
      <c r="K13" s="329"/>
      <c r="L13" s="355"/>
      <c r="M13" s="355"/>
      <c r="N13" s="355"/>
      <c r="O13" s="355"/>
      <c r="P13" s="355"/>
      <c r="Q13" s="355"/>
      <c r="R13" s="355"/>
      <c r="S13" s="355"/>
      <c r="T13" s="355"/>
      <c r="U13" s="355"/>
      <c r="V13" s="355"/>
      <c r="W13" s="355"/>
      <c r="X13" s="355"/>
      <c r="Y13" s="355"/>
      <c r="Z13" s="355"/>
      <c r="AA13" s="355"/>
      <c r="AB13" s="329"/>
      <c r="AC13" s="1793"/>
      <c r="AD13" s="329"/>
      <c r="AE13" s="329"/>
      <c r="AF13" s="1892"/>
      <c r="AG13" s="329"/>
      <c r="AH13" s="329"/>
      <c r="AI13" s="1705"/>
      <c r="AJ13" s="1844"/>
      <c r="AK13" s="1214"/>
      <c r="AL13" s="1214"/>
    </row>
    <row r="14" spans="1:39" ht="15.75">
      <c r="A14" s="218"/>
      <c r="B14" s="3078" t="s">
        <v>1397</v>
      </c>
      <c r="C14" s="216"/>
      <c r="D14" s="218"/>
      <c r="E14" s="543">
        <v>-568.4</v>
      </c>
      <c r="F14" s="329"/>
      <c r="G14" s="324"/>
      <c r="H14" s="3125"/>
      <c r="I14" s="324"/>
      <c r="J14" s="3125"/>
      <c r="K14" s="324"/>
      <c r="L14" s="237"/>
      <c r="M14" s="283"/>
      <c r="N14" s="355"/>
      <c r="O14" s="283"/>
      <c r="P14" s="355"/>
      <c r="Q14" s="283"/>
      <c r="R14" s="283"/>
      <c r="S14" s="283"/>
      <c r="T14" s="283"/>
      <c r="U14" s="283"/>
      <c r="V14" s="283"/>
      <c r="W14" s="283"/>
      <c r="X14" s="283"/>
      <c r="Y14" s="283"/>
      <c r="Z14" s="283"/>
      <c r="AA14" s="283"/>
      <c r="AB14" s="329"/>
      <c r="AC14" s="1793"/>
      <c r="AD14" s="324">
        <f>E14</f>
        <v>-568.4</v>
      </c>
      <c r="AE14" s="329"/>
      <c r="AF14" s="1892"/>
      <c r="AG14" s="3091">
        <v>-490.9</v>
      </c>
      <c r="AH14" s="329"/>
      <c r="AI14" s="1705"/>
      <c r="AJ14" s="301">
        <f>ROUND(AD14-AG14,1)</f>
        <v>-77.5</v>
      </c>
      <c r="AK14" s="3204"/>
      <c r="AL14" s="3720">
        <f>ROUND(IF(AG14=0,0,AJ14/ABS(AG14)),3)</f>
        <v>-0.158</v>
      </c>
    </row>
    <row r="15" spans="1:39" ht="15.75">
      <c r="A15" s="218"/>
      <c r="B15" s="216"/>
      <c r="C15" s="216"/>
      <c r="D15" s="218"/>
      <c r="E15" s="329"/>
      <c r="F15" s="329"/>
      <c r="G15" s="329"/>
      <c r="H15" s="329"/>
      <c r="I15" s="329"/>
      <c r="J15" s="329"/>
      <c r="K15" s="329"/>
      <c r="L15" s="355"/>
      <c r="M15" s="355"/>
      <c r="N15" s="355"/>
      <c r="O15" s="355"/>
      <c r="P15" s="355"/>
      <c r="Q15" s="355"/>
      <c r="R15" s="355"/>
      <c r="S15" s="355"/>
      <c r="T15" s="355"/>
      <c r="U15" s="355"/>
      <c r="V15" s="355"/>
      <c r="W15" s="355"/>
      <c r="X15" s="355"/>
      <c r="Y15" s="355"/>
      <c r="Z15" s="355"/>
      <c r="AA15" s="355"/>
      <c r="AB15" s="329"/>
      <c r="AC15" s="1793"/>
      <c r="AD15" s="329"/>
      <c r="AE15" s="329"/>
      <c r="AF15" s="1892"/>
      <c r="AG15" s="329"/>
      <c r="AH15" s="329"/>
      <c r="AI15" s="1705"/>
      <c r="AJ15" s="1844"/>
      <c r="AK15" s="1214"/>
      <c r="AL15" s="1214"/>
    </row>
    <row r="16" spans="1:39" ht="15.75">
      <c r="A16" s="218"/>
      <c r="B16" s="216" t="s">
        <v>198</v>
      </c>
      <c r="C16" s="218"/>
      <c r="D16" s="218"/>
      <c r="E16" s="329"/>
      <c r="F16" s="329"/>
      <c r="G16" s="329"/>
      <c r="H16" s="329"/>
      <c r="I16" s="329"/>
      <c r="J16" s="329"/>
      <c r="K16" s="329"/>
      <c r="L16" s="355"/>
      <c r="M16" s="355"/>
      <c r="N16" s="355"/>
      <c r="O16" s="355"/>
      <c r="P16" s="355"/>
      <c r="Q16" s="355"/>
      <c r="R16" s="355"/>
      <c r="S16" s="355"/>
      <c r="T16" s="355"/>
      <c r="U16" s="355"/>
      <c r="V16" s="355"/>
      <c r="W16" s="355"/>
      <c r="X16" s="355"/>
      <c r="Y16" s="355"/>
      <c r="Z16" s="355"/>
      <c r="AA16" s="355"/>
      <c r="AB16" s="329"/>
      <c r="AC16" s="1793"/>
      <c r="AD16" s="329"/>
      <c r="AE16" s="1845"/>
      <c r="AF16" s="306"/>
      <c r="AG16" s="329"/>
      <c r="AH16" s="329"/>
      <c r="AI16" s="1705"/>
      <c r="AJ16" s="1846"/>
      <c r="AK16" s="607"/>
      <c r="AL16" s="607"/>
    </row>
    <row r="17" spans="1:39" ht="15.75">
      <c r="A17" s="218"/>
      <c r="B17" s="467" t="s">
        <v>1193</v>
      </c>
      <c r="C17" s="218"/>
      <c r="D17" s="218"/>
      <c r="E17" s="329"/>
      <c r="F17" s="329"/>
      <c r="G17" s="329"/>
      <c r="H17" s="329"/>
      <c r="I17" s="329"/>
      <c r="J17" s="329"/>
      <c r="K17" s="329"/>
      <c r="L17" s="355"/>
      <c r="M17" s="355"/>
      <c r="N17" s="355"/>
      <c r="O17" s="355"/>
      <c r="P17" s="355"/>
      <c r="Q17" s="355"/>
      <c r="R17" s="355"/>
      <c r="S17" s="355"/>
      <c r="T17" s="355"/>
      <c r="U17" s="355"/>
      <c r="V17" s="355"/>
      <c r="W17" s="355"/>
      <c r="X17" s="355"/>
      <c r="Y17" s="355"/>
      <c r="Z17" s="355"/>
      <c r="AA17" s="355"/>
      <c r="AB17" s="329"/>
      <c r="AC17" s="1793"/>
      <c r="AD17" s="329"/>
      <c r="AE17" s="1847"/>
      <c r="AF17" s="306"/>
      <c r="AG17" s="329"/>
      <c r="AH17" s="329"/>
      <c r="AI17" s="1705"/>
      <c r="AJ17" s="1846"/>
      <c r="AK17" s="607"/>
      <c r="AL17" s="607"/>
    </row>
    <row r="18" spans="1:39" ht="15.75">
      <c r="A18" s="218"/>
      <c r="B18" s="1768" t="s">
        <v>1209</v>
      </c>
      <c r="C18" s="218"/>
      <c r="D18" s="218"/>
      <c r="E18" s="1833"/>
      <c r="F18" s="329"/>
      <c r="G18" s="307"/>
      <c r="H18" s="307"/>
      <c r="I18" s="307"/>
      <c r="J18" s="307"/>
      <c r="K18" s="307"/>
      <c r="L18" s="254"/>
      <c r="M18" s="254"/>
      <c r="N18" s="254"/>
      <c r="O18" s="254"/>
      <c r="P18" s="254"/>
      <c r="Q18" s="254"/>
      <c r="R18" s="254"/>
      <c r="S18" s="254"/>
      <c r="T18" s="254"/>
      <c r="U18" s="254"/>
      <c r="V18" s="254"/>
      <c r="W18" s="254"/>
      <c r="X18" s="254"/>
      <c r="Y18" s="254"/>
      <c r="Z18" s="254"/>
      <c r="AA18" s="254"/>
      <c r="AB18" s="307"/>
      <c r="AC18" s="1145"/>
      <c r="AD18" s="1985" t="s">
        <v>15</v>
      </c>
      <c r="AE18" s="1815"/>
      <c r="AF18" s="255"/>
      <c r="AG18" s="307" t="s">
        <v>15</v>
      </c>
      <c r="AH18" s="307"/>
      <c r="AI18" s="1849"/>
      <c r="AJ18" s="646"/>
      <c r="AK18" s="607"/>
      <c r="AL18" s="607"/>
    </row>
    <row r="19" spans="1:39" s="1828" customFormat="1">
      <c r="A19" s="296"/>
      <c r="B19" s="2930" t="s">
        <v>1212</v>
      </c>
      <c r="C19" s="296"/>
      <c r="D19" s="2931" t="s">
        <v>15</v>
      </c>
      <c r="E19" s="1544">
        <f>$AD19</f>
        <v>0.6</v>
      </c>
      <c r="F19" s="1544"/>
      <c r="G19" s="1544"/>
      <c r="H19" s="1544"/>
      <c r="I19" s="1544"/>
      <c r="J19" s="1544"/>
      <c r="K19" s="1544"/>
      <c r="L19" s="2509"/>
      <c r="M19" s="2743"/>
      <c r="N19" s="2932"/>
      <c r="O19" s="2743"/>
      <c r="P19" s="2932"/>
      <c r="Q19" s="2914"/>
      <c r="R19" s="2932"/>
      <c r="S19" s="2914"/>
      <c r="T19" s="2932"/>
      <c r="U19" s="2914"/>
      <c r="V19" s="2932"/>
      <c r="W19" s="2914"/>
      <c r="X19" s="2932"/>
      <c r="Y19" s="2914"/>
      <c r="Z19" s="2932"/>
      <c r="AA19" s="2914"/>
      <c r="AB19" s="1544"/>
      <c r="AC19" s="2294"/>
      <c r="AD19" s="1544">
        <v>0.6</v>
      </c>
      <c r="AE19" s="2295"/>
      <c r="AF19" s="2296"/>
      <c r="AG19" s="1544">
        <v>8</v>
      </c>
      <c r="AH19" s="2297"/>
      <c r="AI19" s="2298"/>
      <c r="AJ19" s="1544">
        <f>ROUND(AD19-AG19,1)</f>
        <v>-7.4</v>
      </c>
      <c r="AK19" s="2933"/>
      <c r="AL19" s="3480">
        <f>ROUND(IF(AG19=0,0,AJ19/ABS(AG19)),3)</f>
        <v>-0.92500000000000004</v>
      </c>
    </row>
    <row r="20" spans="1:39" s="1828" customFormat="1" ht="15.75">
      <c r="A20" s="296"/>
      <c r="B20" s="2930" t="s">
        <v>1214</v>
      </c>
      <c r="C20" s="296"/>
      <c r="D20" s="296"/>
      <c r="E20" s="1544">
        <f t="shared" ref="E20:E21" si="0">$AD20</f>
        <v>31</v>
      </c>
      <c r="F20" s="1544"/>
      <c r="G20" s="1544"/>
      <c r="H20" s="1544"/>
      <c r="I20" s="1544"/>
      <c r="J20" s="1544"/>
      <c r="K20" s="1544"/>
      <c r="L20" s="2507"/>
      <c r="M20" s="2743"/>
      <c r="N20" s="2507"/>
      <c r="O20" s="2743"/>
      <c r="P20" s="2507"/>
      <c r="Q20" s="2914"/>
      <c r="R20" s="2507"/>
      <c r="S20" s="2914"/>
      <c r="T20" s="2507"/>
      <c r="U20" s="2914"/>
      <c r="V20" s="2507"/>
      <c r="W20" s="2914"/>
      <c r="X20" s="2507"/>
      <c r="Y20" s="2914"/>
      <c r="Z20" s="2507"/>
      <c r="AA20" s="2914"/>
      <c r="AB20" s="1544"/>
      <c r="AC20" s="1145"/>
      <c r="AD20" s="1544">
        <v>31</v>
      </c>
      <c r="AE20" s="1815"/>
      <c r="AF20" s="255"/>
      <c r="AG20" s="1544">
        <v>32.799999999999997</v>
      </c>
      <c r="AH20" s="307"/>
      <c r="AI20" s="1849"/>
      <c r="AJ20" s="307">
        <f>ROUND(AD20-AG20,1)</f>
        <v>-1.8</v>
      </c>
      <c r="AK20" s="1817"/>
      <c r="AL20" s="2846">
        <f>ROUND(IF(AG20=0,0,AJ20/ABS(AG20)),3)</f>
        <v>-5.5E-2</v>
      </c>
      <c r="AM20" s="1846"/>
    </row>
    <row r="21" spans="1:39" s="1828" customFormat="1" ht="15.75">
      <c r="A21" s="296"/>
      <c r="B21" s="2930" t="s">
        <v>1216</v>
      </c>
      <c r="C21" s="296"/>
      <c r="D21" s="296"/>
      <c r="E21" s="1544">
        <f t="shared" si="0"/>
        <v>12.8</v>
      </c>
      <c r="F21" s="1544"/>
      <c r="G21" s="1544"/>
      <c r="H21" s="1544"/>
      <c r="I21" s="1544"/>
      <c r="J21" s="1544"/>
      <c r="K21" s="1544"/>
      <c r="L21" s="2507"/>
      <c r="M21" s="2743"/>
      <c r="N21" s="2507"/>
      <c r="O21" s="2743"/>
      <c r="P21" s="2507"/>
      <c r="Q21" s="2914"/>
      <c r="R21" s="2507"/>
      <c r="S21" s="2914"/>
      <c r="T21" s="2507"/>
      <c r="U21" s="2914"/>
      <c r="V21" s="2507"/>
      <c r="W21" s="2914"/>
      <c r="X21" s="2507"/>
      <c r="Y21" s="2914"/>
      <c r="Z21" s="2507"/>
      <c r="AA21" s="2914"/>
      <c r="AB21" s="1544"/>
      <c r="AC21" s="1145"/>
      <c r="AD21" s="1544">
        <v>12.8</v>
      </c>
      <c r="AE21" s="1815"/>
      <c r="AF21" s="255"/>
      <c r="AG21" s="1544">
        <v>11.5</v>
      </c>
      <c r="AH21" s="307"/>
      <c r="AI21" s="1849"/>
      <c r="AJ21" s="307">
        <f>ROUND(AD21-AG21,1)</f>
        <v>1.3</v>
      </c>
      <c r="AK21" s="1817"/>
      <c r="AL21" s="2846">
        <f>ROUND(IF(AG21=0,0,AJ21/ABS(AG21)),3)</f>
        <v>0.113</v>
      </c>
    </row>
    <row r="22" spans="1:39" ht="15.75">
      <c r="A22" s="218"/>
      <c r="B22" s="555" t="s">
        <v>1308</v>
      </c>
      <c r="C22" s="218"/>
      <c r="D22" s="218"/>
      <c r="E22" s="2514">
        <f>ROUND(SUM(E19:E21),1)</f>
        <v>44.4</v>
      </c>
      <c r="F22" s="1544"/>
      <c r="G22" s="2514">
        <f>ROUND(SUM(G19:G21),1)</f>
        <v>0</v>
      </c>
      <c r="H22" s="1544"/>
      <c r="I22" s="2514">
        <f>ROUND(SUM(I19:I21),1)</f>
        <v>0</v>
      </c>
      <c r="J22" s="1544"/>
      <c r="K22" s="2514">
        <f>ROUND(SUM(K19:K21),1)</f>
        <v>0</v>
      </c>
      <c r="L22" s="1042"/>
      <c r="M22" s="1144">
        <f>ROUND(SUM(M19:M21),1)</f>
        <v>0</v>
      </c>
      <c r="N22" s="1042"/>
      <c r="O22" s="2514">
        <f>ROUND(SUM(O19:O21),1)</f>
        <v>0</v>
      </c>
      <c r="P22" s="254"/>
      <c r="Q22" s="1144">
        <f>ROUND(SUM(Q19:Q21),1)</f>
        <v>0</v>
      </c>
      <c r="R22" s="254"/>
      <c r="S22" s="1144">
        <f>ROUND(SUM(S19:S21),1)</f>
        <v>0</v>
      </c>
      <c r="T22" s="254"/>
      <c r="U22" s="2514">
        <f>ROUND(SUM(U19:U21),1)</f>
        <v>0</v>
      </c>
      <c r="V22" s="254"/>
      <c r="W22" s="1144">
        <f>ROUND(SUM(W19:W21),1)</f>
        <v>0</v>
      </c>
      <c r="X22" s="254"/>
      <c r="Y22" s="1144">
        <f>ROUND(SUM(Y19:Y21),1)</f>
        <v>0</v>
      </c>
      <c r="Z22" s="254"/>
      <c r="AA22" s="1144">
        <f>ROUND(SUM(AA19:AA21),1)</f>
        <v>0</v>
      </c>
      <c r="AB22" s="307"/>
      <c r="AC22" s="1145"/>
      <c r="AD22" s="2514">
        <f>ROUND(SUM(AD19:AD21),1)</f>
        <v>44.4</v>
      </c>
      <c r="AE22" s="1819"/>
      <c r="AF22" s="255"/>
      <c r="AG22" s="2514">
        <f>ROUND(SUM(AG19:AG21),1)</f>
        <v>52.3</v>
      </c>
      <c r="AH22" s="307"/>
      <c r="AI22" s="1849"/>
      <c r="AJ22" s="1144">
        <f>ROUND(SUM(AJ19:AJ21),1)</f>
        <v>-7.9</v>
      </c>
      <c r="AK22" s="616"/>
      <c r="AL22" s="70">
        <f>ROUND(IF(AG22=0,0,AJ22/ABS(AG22)),3)</f>
        <v>-0.151</v>
      </c>
    </row>
    <row r="23" spans="1:39" ht="15.75">
      <c r="A23" s="218"/>
      <c r="B23" s="1768" t="s">
        <v>1197</v>
      </c>
      <c r="C23" s="218"/>
      <c r="D23" s="218"/>
      <c r="E23" s="1544"/>
      <c r="F23" s="1544"/>
      <c r="G23" s="1544"/>
      <c r="H23" s="1544"/>
      <c r="I23" s="1544"/>
      <c r="J23" s="1544"/>
      <c r="K23" s="1544"/>
      <c r="L23" s="1042"/>
      <c r="M23" s="1042"/>
      <c r="N23" s="1042"/>
      <c r="O23" s="2502"/>
      <c r="P23" s="254"/>
      <c r="Q23" s="493"/>
      <c r="R23" s="254"/>
      <c r="S23" s="493"/>
      <c r="T23" s="254"/>
      <c r="U23" s="493"/>
      <c r="V23" s="254"/>
      <c r="W23" s="618"/>
      <c r="X23" s="254"/>
      <c r="Y23" s="493"/>
      <c r="Z23" s="254"/>
      <c r="AA23" s="618"/>
      <c r="AB23" s="307"/>
      <c r="AC23" s="1145"/>
      <c r="AD23" s="308"/>
      <c r="AE23" s="1815"/>
      <c r="AF23" s="255"/>
      <c r="AG23" s="308"/>
      <c r="AH23" s="307"/>
      <c r="AI23" s="1849"/>
      <c r="AJ23" s="308"/>
      <c r="AK23" s="607"/>
      <c r="AL23" s="614"/>
    </row>
    <row r="24" spans="1:39" s="1828" customFormat="1" ht="15.75">
      <c r="A24" s="296"/>
      <c r="B24" s="2930" t="s">
        <v>1219</v>
      </c>
      <c r="C24" s="296"/>
      <c r="D24" s="296"/>
      <c r="E24" s="1544">
        <f>$AD24</f>
        <v>0</v>
      </c>
      <c r="F24" s="1544"/>
      <c r="G24" s="1544"/>
      <c r="H24" s="1544"/>
      <c r="I24" s="1544"/>
      <c r="J24" s="1544"/>
      <c r="K24" s="1544"/>
      <c r="L24" s="2507"/>
      <c r="M24" s="2743"/>
      <c r="N24" s="2507"/>
      <c r="O24" s="2743"/>
      <c r="P24" s="2507"/>
      <c r="Q24" s="2914"/>
      <c r="R24" s="2507"/>
      <c r="S24" s="2914"/>
      <c r="T24" s="2507"/>
      <c r="U24" s="2914"/>
      <c r="V24" s="2507"/>
      <c r="W24" s="2914"/>
      <c r="X24" s="2507"/>
      <c r="Y24" s="2914"/>
      <c r="Z24" s="2507"/>
      <c r="AA24" s="2914"/>
      <c r="AB24" s="307"/>
      <c r="AC24" s="1145"/>
      <c r="AD24" s="1544">
        <v>0</v>
      </c>
      <c r="AE24" s="1819"/>
      <c r="AF24" s="255"/>
      <c r="AG24" s="1544">
        <v>0</v>
      </c>
      <c r="AH24" s="307"/>
      <c r="AI24" s="1849"/>
      <c r="AJ24" s="307">
        <f>ROUND(AD24-AG24,1)</f>
        <v>0</v>
      </c>
      <c r="AK24" s="1846"/>
      <c r="AL24" s="2846">
        <f>ROUND(IF(AG24=0,0,AJ24/ABS(AG24)),3)</f>
        <v>0</v>
      </c>
    </row>
    <row r="25" spans="1:39" s="1828" customFormat="1" ht="15.75">
      <c r="A25" s="296"/>
      <c r="B25" s="2930" t="s">
        <v>1220</v>
      </c>
      <c r="C25" s="296"/>
      <c r="D25" s="296"/>
      <c r="E25" s="1544">
        <f t="shared" ref="E25:E26" si="1">$AD25</f>
        <v>3.1</v>
      </c>
      <c r="F25" s="1544"/>
      <c r="G25" s="1544"/>
      <c r="H25" s="1544"/>
      <c r="I25" s="1544"/>
      <c r="J25" s="1544"/>
      <c r="K25" s="1544"/>
      <c r="L25" s="2507"/>
      <c r="M25" s="2743"/>
      <c r="N25" s="2507"/>
      <c r="O25" s="2743"/>
      <c r="P25" s="2507"/>
      <c r="Q25" s="2914"/>
      <c r="R25" s="2507"/>
      <c r="S25" s="2914"/>
      <c r="T25" s="2507"/>
      <c r="U25" s="2914"/>
      <c r="V25" s="2507"/>
      <c r="W25" s="2914"/>
      <c r="X25" s="2507"/>
      <c r="Y25" s="2914"/>
      <c r="Z25" s="2507"/>
      <c r="AA25" s="2914"/>
      <c r="AB25" s="307"/>
      <c r="AC25" s="1145"/>
      <c r="AD25" s="1544">
        <v>3.1</v>
      </c>
      <c r="AE25" s="1819"/>
      <c r="AF25" s="255"/>
      <c r="AG25" s="1544">
        <v>0.9</v>
      </c>
      <c r="AH25" s="307"/>
      <c r="AI25" s="1849"/>
      <c r="AJ25" s="307">
        <f>ROUND(AD25-AG25,1)</f>
        <v>2.2000000000000002</v>
      </c>
      <c r="AK25" s="1846"/>
      <c r="AL25" s="2843">
        <f>ROUND(IF(AG25=0,1,AJ25/ABS(AG25)),3)</f>
        <v>2.444</v>
      </c>
    </row>
    <row r="26" spans="1:39" s="1828" customFormat="1" ht="15.75">
      <c r="A26" s="296"/>
      <c r="B26" s="2930" t="s">
        <v>1223</v>
      </c>
      <c r="C26" s="294"/>
      <c r="D26" s="296"/>
      <c r="E26" s="1544">
        <f t="shared" si="1"/>
        <v>64.5</v>
      </c>
      <c r="F26" s="1544"/>
      <c r="G26" s="1544"/>
      <c r="H26" s="1544"/>
      <c r="I26" s="1544"/>
      <c r="J26" s="1544"/>
      <c r="K26" s="1544"/>
      <c r="L26" s="2507"/>
      <c r="M26" s="2743"/>
      <c r="N26" s="2507"/>
      <c r="O26" s="2743"/>
      <c r="P26" s="2507"/>
      <c r="Q26" s="2914"/>
      <c r="R26" s="2507"/>
      <c r="S26" s="2914"/>
      <c r="T26" s="2507"/>
      <c r="U26" s="2914"/>
      <c r="V26" s="2507"/>
      <c r="W26" s="2914"/>
      <c r="X26" s="2507"/>
      <c r="Y26" s="2914"/>
      <c r="Z26" s="2507"/>
      <c r="AA26" s="2914"/>
      <c r="AB26" s="307"/>
      <c r="AC26" s="1145"/>
      <c r="AD26" s="1544">
        <v>64.5</v>
      </c>
      <c r="AE26" s="1815"/>
      <c r="AF26" s="255"/>
      <c r="AG26" s="1544">
        <v>45.9</v>
      </c>
      <c r="AH26" s="307"/>
      <c r="AI26" s="1849"/>
      <c r="AJ26" s="307">
        <f>ROUND(AD26-AG26,1)</f>
        <v>18.600000000000001</v>
      </c>
      <c r="AK26" s="1817"/>
      <c r="AL26" s="2848">
        <f>ROUND(IF(AG26=0,0,AJ26/ABS(AG26)),3)</f>
        <v>0.40500000000000003</v>
      </c>
    </row>
    <row r="27" spans="1:39" ht="15.75">
      <c r="A27" s="218"/>
      <c r="B27" s="555" t="s">
        <v>1309</v>
      </c>
      <c r="C27" s="216"/>
      <c r="D27" s="218"/>
      <c r="E27" s="2514">
        <f>ROUND(SUM(E24:E26),1)</f>
        <v>67.599999999999994</v>
      </c>
      <c r="F27" s="1544"/>
      <c r="G27" s="2514">
        <f>ROUND(SUM(G24:G26),1)</f>
        <v>0</v>
      </c>
      <c r="H27" s="1544"/>
      <c r="I27" s="2514">
        <f>ROUND(SUM(I24:I26),1)</f>
        <v>0</v>
      </c>
      <c r="J27" s="1544"/>
      <c r="K27" s="2514">
        <f>ROUND(SUM(K24:K26),1)</f>
        <v>0</v>
      </c>
      <c r="L27" s="1042"/>
      <c r="M27" s="1144">
        <f>ROUND(SUM(M24:M26),1)</f>
        <v>0</v>
      </c>
      <c r="N27" s="1042"/>
      <c r="O27" s="2514">
        <f>ROUND(SUM(O24:O26),1)</f>
        <v>0</v>
      </c>
      <c r="P27" s="254"/>
      <c r="Q27" s="2514">
        <f>ROUND(SUM(Q24:Q26),1)</f>
        <v>0</v>
      </c>
      <c r="R27" s="254"/>
      <c r="S27" s="1144">
        <f>ROUND(SUM(S24:S26),1)</f>
        <v>0</v>
      </c>
      <c r="T27" s="254"/>
      <c r="U27" s="2514">
        <f>ROUND(SUM(U24:U26),1)</f>
        <v>0</v>
      </c>
      <c r="V27" s="254"/>
      <c r="W27" s="1144">
        <f>ROUND(SUM(W24:W26),1)</f>
        <v>0</v>
      </c>
      <c r="X27" s="254"/>
      <c r="Y27" s="1144">
        <f>ROUND(SUM(Y24:Y26),1)</f>
        <v>0</v>
      </c>
      <c r="Z27" s="254"/>
      <c r="AA27" s="1144">
        <f>ROUND(SUM(AA24:AA26),1)</f>
        <v>0</v>
      </c>
      <c r="AB27" s="307"/>
      <c r="AC27" s="1145"/>
      <c r="AD27" s="2514">
        <f>ROUND(SUM(AD24:AD26),1)</f>
        <v>67.599999999999994</v>
      </c>
      <c r="AE27" s="1819"/>
      <c r="AF27" s="255"/>
      <c r="AG27" s="2514">
        <f>ROUND(SUM(AG24:AG26),1)</f>
        <v>46.8</v>
      </c>
      <c r="AH27" s="307"/>
      <c r="AI27" s="1849"/>
      <c r="AJ27" s="1144">
        <f>ROUND(SUM(AJ24:AJ26),1)</f>
        <v>20.8</v>
      </c>
      <c r="AK27" s="616"/>
      <c r="AL27" s="1658">
        <f>ROUND(IF(AG27=0,0,AJ27/ABS(AG27)),3)</f>
        <v>0.44400000000000001</v>
      </c>
    </row>
    <row r="28" spans="1:39" ht="15.75">
      <c r="A28" s="218"/>
      <c r="B28" s="1768" t="s">
        <v>1198</v>
      </c>
      <c r="C28" s="218"/>
      <c r="D28" s="218"/>
      <c r="E28" s="1894"/>
      <c r="F28" s="1544"/>
      <c r="G28" s="1894"/>
      <c r="H28" s="1544"/>
      <c r="I28" s="2515"/>
      <c r="J28" s="1544"/>
      <c r="K28" s="2515"/>
      <c r="L28" s="1042"/>
      <c r="M28" s="1042"/>
      <c r="N28" s="1042"/>
      <c r="O28" s="2502"/>
      <c r="P28" s="254"/>
      <c r="Q28" s="493"/>
      <c r="R28" s="254"/>
      <c r="S28" s="493"/>
      <c r="T28" s="254"/>
      <c r="U28" s="493"/>
      <c r="V28" s="254"/>
      <c r="W28" s="493"/>
      <c r="X28" s="254"/>
      <c r="Y28" s="493"/>
      <c r="Z28" s="254"/>
      <c r="AA28" s="493"/>
      <c r="AB28" s="307"/>
      <c r="AC28" s="1145"/>
      <c r="AD28" s="307"/>
      <c r="AE28" s="1850"/>
      <c r="AF28" s="256"/>
      <c r="AG28" s="307"/>
      <c r="AH28" s="308"/>
      <c r="AI28" s="1816"/>
      <c r="AJ28" s="308"/>
      <c r="AK28" s="613"/>
      <c r="AL28" s="45"/>
      <c r="AM28" s="607"/>
    </row>
    <row r="29" spans="1:39" ht="15.75">
      <c r="A29" s="218"/>
      <c r="B29" s="1132" t="s">
        <v>1229</v>
      </c>
      <c r="C29" s="218"/>
      <c r="D29" s="218"/>
      <c r="E29" s="1544">
        <f>$AD29</f>
        <v>0</v>
      </c>
      <c r="F29" s="1544"/>
      <c r="G29" s="1544"/>
      <c r="H29" s="1544"/>
      <c r="I29" s="1544"/>
      <c r="J29" s="1544"/>
      <c r="K29" s="1544"/>
      <c r="L29" s="2507"/>
      <c r="M29" s="2743"/>
      <c r="N29" s="2507"/>
      <c r="O29" s="2743"/>
      <c r="P29" s="2507"/>
      <c r="Q29" s="2914"/>
      <c r="R29" s="2507"/>
      <c r="S29" s="2914"/>
      <c r="T29" s="2507"/>
      <c r="U29" s="2914"/>
      <c r="V29" s="2507"/>
      <c r="W29" s="2914"/>
      <c r="X29" s="2507"/>
      <c r="Y29" s="2914"/>
      <c r="Z29" s="2507"/>
      <c r="AA29" s="2914"/>
      <c r="AB29" s="307"/>
      <c r="AC29" s="1145"/>
      <c r="AD29" s="1544">
        <v>0</v>
      </c>
      <c r="AE29" s="1854"/>
      <c r="AF29" s="256"/>
      <c r="AG29" s="1544">
        <v>0</v>
      </c>
      <c r="AH29" s="308"/>
      <c r="AI29" s="1816"/>
      <c r="AJ29" s="307">
        <f>ROUND(AD29-AG29,1)</f>
        <v>0</v>
      </c>
      <c r="AK29" s="613"/>
      <c r="AL29" s="1554">
        <f>ROUND(IF(AG29=0,0,AJ29/ABS(AG29)),3)</f>
        <v>0</v>
      </c>
      <c r="AM29" s="607"/>
    </row>
    <row r="30" spans="1:39" ht="15.75">
      <c r="B30" s="555" t="s">
        <v>1310</v>
      </c>
      <c r="C30" s="218"/>
      <c r="D30" s="218"/>
      <c r="E30" s="2514">
        <f>ROUND(SUM(E29:E29),1)</f>
        <v>0</v>
      </c>
      <c r="F30" s="1544"/>
      <c r="G30" s="2514">
        <f>ROUND(SUM(G29:G29),1)</f>
        <v>0</v>
      </c>
      <c r="H30" s="1544"/>
      <c r="I30" s="2514">
        <f>ROUND(SUM(I29:I29),1)</f>
        <v>0</v>
      </c>
      <c r="J30" s="1544"/>
      <c r="K30" s="2514">
        <f>ROUND(SUM(K29:K29),1)</f>
        <v>0</v>
      </c>
      <c r="L30" s="1042"/>
      <c r="M30" s="1144">
        <f>ROUND(SUM(M29:M29),1)</f>
        <v>0</v>
      </c>
      <c r="N30" s="1042"/>
      <c r="O30" s="2514">
        <f>ROUND(SUM(O29:O29),1)</f>
        <v>0</v>
      </c>
      <c r="P30" s="254"/>
      <c r="Q30" s="2514">
        <f>ROUND(SUM(Q29:Q29),1)</f>
        <v>0</v>
      </c>
      <c r="R30" s="254"/>
      <c r="S30" s="1144">
        <f>ROUND(SUM(S29:S29),1)</f>
        <v>0</v>
      </c>
      <c r="T30" s="254"/>
      <c r="U30" s="2514">
        <f>ROUND(SUM(U29:U29),1)</f>
        <v>0</v>
      </c>
      <c r="V30" s="254"/>
      <c r="W30" s="1144">
        <f>ROUND(SUM(W29:W29),1)</f>
        <v>0</v>
      </c>
      <c r="X30" s="254"/>
      <c r="Y30" s="1144">
        <f>ROUND(SUM(Y29:Y29),1)</f>
        <v>0</v>
      </c>
      <c r="Z30" s="254"/>
      <c r="AA30" s="1144">
        <f>ROUND(SUM(AA29:AA29),1)</f>
        <v>0</v>
      </c>
      <c r="AB30" s="307"/>
      <c r="AC30" s="1145"/>
      <c r="AD30" s="2514">
        <f>ROUND(SUM(AD29:AD29),1)</f>
        <v>0</v>
      </c>
      <c r="AE30" s="1854"/>
      <c r="AF30" s="256"/>
      <c r="AG30" s="2514">
        <f>ROUND(SUM(AG29:AG29),1)</f>
        <v>0</v>
      </c>
      <c r="AH30" s="308"/>
      <c r="AI30" s="1816"/>
      <c r="AJ30" s="1144">
        <f>ROUND(SUM(AJ29:AJ29),1)</f>
        <v>0</v>
      </c>
      <c r="AK30" s="613"/>
      <c r="AL30" s="70">
        <f>ROUND(IF(AG30=0,0,AJ30/ABS(AG30)),3)</f>
        <v>0</v>
      </c>
      <c r="AM30" s="607"/>
    </row>
    <row r="31" spans="1:39" ht="15.75">
      <c r="A31" s="218"/>
      <c r="B31" s="216"/>
      <c r="C31" s="218"/>
      <c r="D31" s="218"/>
      <c r="E31" s="1894"/>
      <c r="F31" s="1544"/>
      <c r="G31" s="1894"/>
      <c r="H31" s="1544"/>
      <c r="I31" s="2515"/>
      <c r="J31" s="1544"/>
      <c r="K31" s="2515"/>
      <c r="L31" s="1042"/>
      <c r="M31" s="1042"/>
      <c r="N31" s="1042"/>
      <c r="O31" s="2502"/>
      <c r="P31" s="254"/>
      <c r="Q31" s="493"/>
      <c r="R31" s="254"/>
      <c r="S31" s="493"/>
      <c r="T31" s="254"/>
      <c r="U31" s="493"/>
      <c r="V31" s="254"/>
      <c r="W31" s="493"/>
      <c r="X31" s="254"/>
      <c r="Y31" s="493"/>
      <c r="Z31" s="254"/>
      <c r="AA31" s="493"/>
      <c r="AB31" s="307"/>
      <c r="AC31" s="1145"/>
      <c r="AD31" s="307"/>
      <c r="AE31" s="1854"/>
      <c r="AF31" s="256"/>
      <c r="AG31" s="307"/>
      <c r="AH31" s="308"/>
      <c r="AI31" s="1816"/>
      <c r="AJ31" s="308"/>
      <c r="AK31" s="613"/>
      <c r="AL31" s="1888"/>
      <c r="AM31" s="607"/>
    </row>
    <row r="32" spans="1:39" s="612" customFormat="1" ht="15.75">
      <c r="A32" s="216"/>
      <c r="B32" s="555" t="s">
        <v>1225</v>
      </c>
      <c r="C32" s="216"/>
      <c r="D32" s="216"/>
      <c r="E32" s="3060">
        <f>ROUND(SUM(+E27+E22+E30),1)</f>
        <v>112</v>
      </c>
      <c r="F32" s="301"/>
      <c r="G32" s="3060">
        <f>ROUND(SUM(+G27+G22+G30),1)</f>
        <v>0</v>
      </c>
      <c r="H32" s="301"/>
      <c r="I32" s="3060">
        <f>ROUND(SUM(+I27+I22+I30),1)</f>
        <v>0</v>
      </c>
      <c r="J32" s="301"/>
      <c r="K32" s="3060">
        <f>ROUND(SUM(+K27+K22+K30),1)</f>
        <v>0</v>
      </c>
      <c r="L32" s="1587"/>
      <c r="M32" s="1772">
        <f>ROUND(SUM(+M27+M22+M30),1)</f>
        <v>0</v>
      </c>
      <c r="N32" s="1587"/>
      <c r="O32" s="1772">
        <f>ROUND(SUM(+O27+O22+O30),1)</f>
        <v>0</v>
      </c>
      <c r="P32" s="1587"/>
      <c r="Q32" s="1772">
        <f>ROUND(SUM(+Q27+Q22+Q30),1)</f>
        <v>0</v>
      </c>
      <c r="R32" s="1587"/>
      <c r="S32" s="1772">
        <f>ROUND(SUM(+S27+S22+S30),1)</f>
        <v>0</v>
      </c>
      <c r="T32" s="1587"/>
      <c r="U32" s="1772">
        <f>ROUND(SUM(+U27+U22+U30),1)</f>
        <v>0</v>
      </c>
      <c r="V32" s="1587"/>
      <c r="W32" s="1772">
        <f>ROUND(SUM(+W27+W22+W30),1)</f>
        <v>0</v>
      </c>
      <c r="X32" s="1587"/>
      <c r="Y32" s="1772">
        <f>ROUND(SUM(+Y27+Y22+Y30),1)</f>
        <v>0</v>
      </c>
      <c r="Z32" s="1587"/>
      <c r="AA32" s="1772">
        <f>ROUND(SUM(+AA27+AA22+AA30),1)</f>
        <v>0</v>
      </c>
      <c r="AB32" s="301"/>
      <c r="AC32" s="1146"/>
      <c r="AD32" s="1772">
        <f>ROUND(SUM(+AD27+AD22+AD30),1)</f>
        <v>112</v>
      </c>
      <c r="AE32" s="1851"/>
      <c r="AF32" s="1852"/>
      <c r="AG32" s="1772">
        <f>ROUND(SUM(+AG27+AG22+AG30),1)</f>
        <v>99.1</v>
      </c>
      <c r="AH32" s="1853"/>
      <c r="AI32" s="1816"/>
      <c r="AJ32" s="1772">
        <f>ROUND(SUM(+AJ27+AJ22+AJ30),1)</f>
        <v>12.9</v>
      </c>
      <c r="AK32" s="1296"/>
      <c r="AL32" s="1658">
        <f>ROUND(IF(AG32=0,1,AJ32/ABS(AG32)),3)</f>
        <v>0.13</v>
      </c>
      <c r="AM32" s="624"/>
    </row>
    <row r="33" spans="1:40" ht="15.75">
      <c r="A33" s="218"/>
      <c r="B33" s="1212"/>
      <c r="C33" s="218"/>
      <c r="D33" s="218"/>
      <c r="E33" s="1894"/>
      <c r="F33" s="1544"/>
      <c r="G33" s="1894"/>
      <c r="H33" s="1544"/>
      <c r="I33" s="2515"/>
      <c r="J33" s="1544"/>
      <c r="K33" s="2515"/>
      <c r="L33" s="1042"/>
      <c r="M33" s="1042"/>
      <c r="N33" s="1042"/>
      <c r="O33" s="2502"/>
      <c r="P33" s="254"/>
      <c r="Q33" s="493"/>
      <c r="R33" s="254"/>
      <c r="S33" s="493"/>
      <c r="T33" s="254"/>
      <c r="U33" s="1813"/>
      <c r="V33" s="307"/>
      <c r="W33" s="1813"/>
      <c r="X33" s="307"/>
      <c r="Y33" s="1813"/>
      <c r="Z33" s="307"/>
      <c r="AA33" s="1813"/>
      <c r="AB33" s="307"/>
      <c r="AC33" s="1145"/>
      <c r="AD33" s="307"/>
      <c r="AE33" s="1854"/>
      <c r="AF33" s="256"/>
      <c r="AG33" s="307"/>
      <c r="AH33" s="308"/>
      <c r="AI33" s="1816"/>
      <c r="AJ33" s="308"/>
      <c r="AK33" s="3607"/>
      <c r="AL33" s="2846"/>
      <c r="AM33" s="1846"/>
      <c r="AN33" s="1828"/>
    </row>
    <row r="34" spans="1:40" ht="15.75">
      <c r="A34" s="218"/>
      <c r="B34" s="467" t="s">
        <v>1128</v>
      </c>
      <c r="C34" s="218"/>
      <c r="D34" s="218"/>
      <c r="E34" s="2515"/>
      <c r="F34" s="1544"/>
      <c r="G34" s="2515"/>
      <c r="H34" s="1544"/>
      <c r="I34" s="2515"/>
      <c r="J34" s="1544"/>
      <c r="K34" s="2515"/>
      <c r="L34" s="1042"/>
      <c r="M34" s="1042"/>
      <c r="N34" s="1042"/>
      <c r="O34" s="2502"/>
      <c r="P34" s="254"/>
      <c r="Q34" s="493"/>
      <c r="R34" s="254"/>
      <c r="S34" s="493"/>
      <c r="T34" s="254"/>
      <c r="U34" s="1813"/>
      <c r="V34" s="307"/>
      <c r="W34" s="1813"/>
      <c r="X34" s="307"/>
      <c r="Y34" s="1813"/>
      <c r="Z34" s="307"/>
      <c r="AA34" s="1813"/>
      <c r="AB34" s="307"/>
      <c r="AC34" s="1145"/>
      <c r="AD34" s="307"/>
      <c r="AE34" s="1815"/>
      <c r="AF34" s="255"/>
      <c r="AG34" s="307"/>
      <c r="AH34" s="308"/>
      <c r="AI34" s="1816"/>
      <c r="AJ34" s="308"/>
      <c r="AK34" s="1817"/>
      <c r="AL34" s="1818"/>
      <c r="AM34" s="1828"/>
      <c r="AN34" s="1828"/>
    </row>
    <row r="35" spans="1:40" ht="15.75">
      <c r="A35" s="218"/>
      <c r="B35" s="1541" t="s">
        <v>1253</v>
      </c>
      <c r="C35" s="1212"/>
      <c r="D35" s="218"/>
      <c r="E35" s="2515"/>
      <c r="F35" s="1544"/>
      <c r="G35" s="2515"/>
      <c r="H35" s="1544"/>
      <c r="I35" s="2515"/>
      <c r="J35" s="1544"/>
      <c r="K35" s="2515"/>
      <c r="L35" s="1042"/>
      <c r="M35" s="1042"/>
      <c r="N35" s="1042"/>
      <c r="O35" s="2502"/>
      <c r="P35" s="254"/>
      <c r="Q35" s="493"/>
      <c r="R35" s="254"/>
      <c r="S35" s="493"/>
      <c r="T35" s="254"/>
      <c r="U35" s="1813"/>
      <c r="V35" s="307"/>
      <c r="W35" s="1813"/>
      <c r="X35" s="307"/>
      <c r="Y35" s="1813"/>
      <c r="Z35" s="307"/>
      <c r="AA35" s="1813"/>
      <c r="AB35" s="307"/>
      <c r="AC35" s="1145"/>
      <c r="AD35" s="307"/>
      <c r="AE35" s="1819"/>
      <c r="AF35" s="255"/>
      <c r="AG35" s="307"/>
      <c r="AH35" s="308"/>
      <c r="AI35" s="1816"/>
      <c r="AJ35" s="308"/>
      <c r="AK35" s="1817"/>
      <c r="AL35" s="1818"/>
      <c r="AM35" s="1828"/>
      <c r="AN35" s="1828"/>
    </row>
    <row r="36" spans="1:40" ht="15.75">
      <c r="A36" s="218"/>
      <c r="B36" s="1541" t="s">
        <v>1162</v>
      </c>
      <c r="C36" s="1212"/>
      <c r="D36" s="218"/>
      <c r="E36" s="1544">
        <f>$AD36</f>
        <v>0</v>
      </c>
      <c r="F36" s="1544"/>
      <c r="G36" s="1544"/>
      <c r="H36" s="1544"/>
      <c r="I36" s="1544"/>
      <c r="J36" s="1544"/>
      <c r="K36" s="1544"/>
      <c r="L36" s="2507"/>
      <c r="M36" s="2743"/>
      <c r="N36" s="2507"/>
      <c r="O36" s="2743"/>
      <c r="P36" s="2507"/>
      <c r="Q36" s="2914"/>
      <c r="R36" s="2507"/>
      <c r="S36" s="2914"/>
      <c r="T36" s="2507"/>
      <c r="U36" s="2914"/>
      <c r="V36" s="2507"/>
      <c r="W36" s="2914"/>
      <c r="X36" s="2507"/>
      <c r="Y36" s="2914"/>
      <c r="Z36" s="2507"/>
      <c r="AA36" s="2914"/>
      <c r="AB36" s="307"/>
      <c r="AC36" s="1145"/>
      <c r="AD36" s="1544">
        <v>0</v>
      </c>
      <c r="AE36" s="1819"/>
      <c r="AF36" s="255"/>
      <c r="AG36" s="1544">
        <v>0</v>
      </c>
      <c r="AH36" s="308"/>
      <c r="AI36" s="1816"/>
      <c r="AJ36" s="307">
        <f t="shared" ref="AJ36:AJ59" si="2">ROUND(AD36-AG36,1)</f>
        <v>0</v>
      </c>
      <c r="AK36" s="1817"/>
      <c r="AL36" s="2744">
        <f>ROUND(IF(AG36=0,0,AJ36/ABS(AG36)),3)</f>
        <v>0</v>
      </c>
      <c r="AM36" s="1828"/>
      <c r="AN36" s="1828"/>
    </row>
    <row r="37" spans="1:40" ht="15.75">
      <c r="A37" s="218"/>
      <c r="B37" s="1541" t="s">
        <v>1254</v>
      </c>
      <c r="C37" s="1212"/>
      <c r="D37" s="218"/>
      <c r="E37" s="1544" t="s">
        <v>15</v>
      </c>
      <c r="F37" s="1544"/>
      <c r="G37" s="1544"/>
      <c r="H37" s="1544"/>
      <c r="I37" s="1544"/>
      <c r="J37" s="1544"/>
      <c r="K37" s="1544"/>
      <c r="L37" s="2507"/>
      <c r="M37" s="2743"/>
      <c r="N37" s="2507"/>
      <c r="O37" s="2743"/>
      <c r="P37" s="2507"/>
      <c r="Q37" s="2914"/>
      <c r="R37" s="2507"/>
      <c r="S37" s="2914"/>
      <c r="T37" s="2507"/>
      <c r="U37" s="2914"/>
      <c r="V37" s="2507"/>
      <c r="W37" s="2914"/>
      <c r="X37" s="2507"/>
      <c r="Y37" s="2914"/>
      <c r="Z37" s="2507"/>
      <c r="AA37" s="2914"/>
      <c r="AB37" s="307"/>
      <c r="AC37" s="1145"/>
      <c r="AD37" s="1813"/>
      <c r="AE37" s="1819"/>
      <c r="AF37" s="255"/>
      <c r="AG37" s="1813"/>
      <c r="AH37" s="308"/>
      <c r="AI37" s="1816"/>
      <c r="AJ37" s="307"/>
      <c r="AK37" s="1817"/>
      <c r="AL37" s="2934"/>
      <c r="AM37" s="1828"/>
      <c r="AN37" s="1828"/>
    </row>
    <row r="38" spans="1:40" ht="15.75">
      <c r="A38" s="218"/>
      <c r="B38" s="1541" t="s">
        <v>1163</v>
      </c>
      <c r="C38" s="1212"/>
      <c r="D38" s="218"/>
      <c r="E38" s="1544">
        <f t="shared" ref="E38:E59" si="3">$AD38</f>
        <v>15.7</v>
      </c>
      <c r="F38" s="1544"/>
      <c r="G38" s="1544"/>
      <c r="H38" s="1544"/>
      <c r="I38" s="1544"/>
      <c r="J38" s="1544"/>
      <c r="K38" s="1544"/>
      <c r="L38" s="2507"/>
      <c r="M38" s="2743"/>
      <c r="N38" s="2507"/>
      <c r="O38" s="2743"/>
      <c r="P38" s="2507"/>
      <c r="Q38" s="2914"/>
      <c r="R38" s="2507"/>
      <c r="S38" s="2914"/>
      <c r="T38" s="2507"/>
      <c r="U38" s="2914"/>
      <c r="V38" s="2507"/>
      <c r="W38" s="2914"/>
      <c r="X38" s="2507"/>
      <c r="Y38" s="2914"/>
      <c r="Z38" s="2507"/>
      <c r="AA38" s="2914"/>
      <c r="AB38" s="307"/>
      <c r="AC38" s="1145"/>
      <c r="AD38" s="1544">
        <v>15.7</v>
      </c>
      <c r="AE38" s="1819"/>
      <c r="AF38" s="255"/>
      <c r="AG38" s="1544">
        <v>15.5</v>
      </c>
      <c r="AH38" s="308"/>
      <c r="AI38" s="1816"/>
      <c r="AJ38" s="307">
        <f t="shared" si="2"/>
        <v>0.2</v>
      </c>
      <c r="AK38" s="1817"/>
      <c r="AL38" s="2744">
        <f>ROUND(IF(AG38=0,0,AJ38/ABS(AG38)),3)</f>
        <v>1.2999999999999999E-2</v>
      </c>
      <c r="AM38" s="1828"/>
      <c r="AN38" s="1828"/>
    </row>
    <row r="39" spans="1:40" s="1828" customFormat="1" ht="15.75">
      <c r="A39" s="296"/>
      <c r="B39" s="1541" t="s">
        <v>1259</v>
      </c>
      <c r="C39" s="1710"/>
      <c r="D39" s="296"/>
      <c r="E39" s="1544" t="s">
        <v>15</v>
      </c>
      <c r="F39" s="1544"/>
      <c r="G39" s="1544"/>
      <c r="H39" s="1544"/>
      <c r="I39" s="1544"/>
      <c r="J39" s="1544"/>
      <c r="K39" s="1544"/>
      <c r="L39" s="2507"/>
      <c r="M39" s="2743"/>
      <c r="N39" s="2507"/>
      <c r="O39" s="2743"/>
      <c r="P39" s="2507"/>
      <c r="Q39" s="2914"/>
      <c r="R39" s="2507"/>
      <c r="S39" s="2914"/>
      <c r="T39" s="2507"/>
      <c r="U39" s="2914"/>
      <c r="V39" s="2507"/>
      <c r="W39" s="2914"/>
      <c r="X39" s="2507"/>
      <c r="Y39" s="2914"/>
      <c r="Z39" s="2507"/>
      <c r="AA39" s="2914"/>
      <c r="AB39" s="307"/>
      <c r="AC39" s="1145"/>
      <c r="AD39" s="1813"/>
      <c r="AE39" s="1819"/>
      <c r="AF39" s="255"/>
      <c r="AG39" s="1813"/>
      <c r="AH39" s="308"/>
      <c r="AI39" s="1816"/>
      <c r="AJ39" s="307"/>
      <c r="AK39" s="1817"/>
      <c r="AL39" s="2934"/>
    </row>
    <row r="40" spans="1:40" ht="15.75">
      <c r="A40" s="218"/>
      <c r="B40" s="1541" t="s">
        <v>1167</v>
      </c>
      <c r="C40" s="1212"/>
      <c r="D40" s="218"/>
      <c r="E40" s="1544">
        <f t="shared" si="3"/>
        <v>3.5</v>
      </c>
      <c r="F40" s="1544"/>
      <c r="G40" s="1544"/>
      <c r="H40" s="1544"/>
      <c r="I40" s="1544"/>
      <c r="J40" s="1544"/>
      <c r="K40" s="1544"/>
      <c r="L40" s="2507"/>
      <c r="M40" s="2743"/>
      <c r="N40" s="2507"/>
      <c r="O40" s="2743"/>
      <c r="P40" s="2507"/>
      <c r="Q40" s="2914"/>
      <c r="R40" s="2507"/>
      <c r="S40" s="2914"/>
      <c r="T40" s="2507"/>
      <c r="U40" s="2914"/>
      <c r="V40" s="2507"/>
      <c r="W40" s="2914"/>
      <c r="X40" s="2507"/>
      <c r="Y40" s="2914"/>
      <c r="Z40" s="2507"/>
      <c r="AA40" s="2914"/>
      <c r="AB40" s="307"/>
      <c r="AC40" s="1145"/>
      <c r="AD40" s="1544">
        <v>3.5</v>
      </c>
      <c r="AE40" s="1819"/>
      <c r="AF40" s="255"/>
      <c r="AG40" s="1544">
        <v>1.6</v>
      </c>
      <c r="AH40" s="308"/>
      <c r="AI40" s="1816"/>
      <c r="AJ40" s="307">
        <f t="shared" si="2"/>
        <v>1.9</v>
      </c>
      <c r="AK40" s="1817"/>
      <c r="AL40" s="2744">
        <f>ROUND(IF(AG40=0,0,AJ40/ABS(AG40)),3)</f>
        <v>1.1879999999999999</v>
      </c>
      <c r="AM40" s="1828"/>
      <c r="AN40" s="1828"/>
    </row>
    <row r="41" spans="1:40" ht="15.75">
      <c r="A41" s="218"/>
      <c r="B41" s="1541" t="s">
        <v>1324</v>
      </c>
      <c r="C41" s="1212"/>
      <c r="D41" s="218"/>
      <c r="E41" s="1544">
        <f t="shared" si="3"/>
        <v>0</v>
      </c>
      <c r="F41" s="1544"/>
      <c r="G41" s="1544"/>
      <c r="H41" s="1544"/>
      <c r="I41" s="1544"/>
      <c r="J41" s="1544"/>
      <c r="K41" s="1544"/>
      <c r="L41" s="2507"/>
      <c r="M41" s="2743"/>
      <c r="N41" s="2507"/>
      <c r="O41" s="2743"/>
      <c r="P41" s="2507"/>
      <c r="Q41" s="2914"/>
      <c r="R41" s="2507"/>
      <c r="S41" s="2914"/>
      <c r="T41" s="2507"/>
      <c r="U41" s="2914"/>
      <c r="V41" s="2507"/>
      <c r="W41" s="2914"/>
      <c r="X41" s="2507"/>
      <c r="Y41" s="2914"/>
      <c r="Z41" s="2507"/>
      <c r="AA41" s="2914"/>
      <c r="AB41" s="307"/>
      <c r="AC41" s="1145"/>
      <c r="AD41" s="1544">
        <v>0</v>
      </c>
      <c r="AE41" s="2374"/>
      <c r="AF41" s="255"/>
      <c r="AG41" s="1544">
        <v>0</v>
      </c>
      <c r="AH41" s="308"/>
      <c r="AI41" s="1816"/>
      <c r="AJ41" s="307">
        <f>ROUND(AD41-AG41,1)</f>
        <v>0</v>
      </c>
      <c r="AK41" s="1817"/>
      <c r="AL41" s="2843">
        <f>ROUND(IF(AG41=0,0,AJ41/ABS(AG41)),3)</f>
        <v>0</v>
      </c>
      <c r="AM41" s="1828"/>
      <c r="AN41" s="1828"/>
    </row>
    <row r="42" spans="1:40" ht="15.75">
      <c r="A42" s="218"/>
      <c r="B42" s="1541" t="s">
        <v>1170</v>
      </c>
      <c r="C42" s="1212"/>
      <c r="D42" s="218"/>
      <c r="E42" s="1544">
        <f t="shared" si="3"/>
        <v>66.2</v>
      </c>
      <c r="F42" s="1544"/>
      <c r="G42" s="1544"/>
      <c r="H42" s="1544"/>
      <c r="I42" s="1544"/>
      <c r="J42" s="1544"/>
      <c r="K42" s="1544"/>
      <c r="L42" s="2507"/>
      <c r="M42" s="2743"/>
      <c r="N42" s="2507"/>
      <c r="O42" s="2743"/>
      <c r="P42" s="2507"/>
      <c r="Q42" s="2914"/>
      <c r="R42" s="2507"/>
      <c r="S42" s="2914"/>
      <c r="T42" s="2507"/>
      <c r="U42" s="2914"/>
      <c r="V42" s="2507"/>
      <c r="W42" s="2914"/>
      <c r="X42" s="2507"/>
      <c r="Y42" s="2914"/>
      <c r="Z42" s="2507"/>
      <c r="AA42" s="2914"/>
      <c r="AB42" s="307"/>
      <c r="AC42" s="1145"/>
      <c r="AD42" s="1544">
        <v>66.2</v>
      </c>
      <c r="AE42" s="1819"/>
      <c r="AF42" s="255"/>
      <c r="AG42" s="1544">
        <v>69.3</v>
      </c>
      <c r="AH42" s="308"/>
      <c r="AI42" s="1816"/>
      <c r="AJ42" s="307">
        <f t="shared" si="2"/>
        <v>-3.1</v>
      </c>
      <c r="AK42" s="1817"/>
      <c r="AL42" s="2744">
        <f>ROUND(IF(AG42=0,0,AJ42/ABS(AG42)),3)</f>
        <v>-4.4999999999999998E-2</v>
      </c>
      <c r="AM42" s="1828"/>
      <c r="AN42" s="1828"/>
    </row>
    <row r="43" spans="1:40" ht="15.75">
      <c r="A43" s="218"/>
      <c r="B43" s="1541" t="s">
        <v>1171</v>
      </c>
      <c r="C43" s="1212"/>
      <c r="D43" s="218"/>
      <c r="E43" s="1544">
        <f t="shared" si="3"/>
        <v>0.1</v>
      </c>
      <c r="F43" s="1544"/>
      <c r="G43" s="1544"/>
      <c r="H43" s="1544"/>
      <c r="I43" s="1544"/>
      <c r="J43" s="1544"/>
      <c r="K43" s="1544"/>
      <c r="L43" s="2507"/>
      <c r="M43" s="2743"/>
      <c r="N43" s="2507"/>
      <c r="O43" s="2743"/>
      <c r="P43" s="2507"/>
      <c r="Q43" s="2914"/>
      <c r="R43" s="2507"/>
      <c r="S43" s="2914"/>
      <c r="T43" s="2507"/>
      <c r="U43" s="2914"/>
      <c r="V43" s="2507"/>
      <c r="W43" s="2914"/>
      <c r="X43" s="2507"/>
      <c r="Y43" s="2914"/>
      <c r="Z43" s="2507"/>
      <c r="AA43" s="2914"/>
      <c r="AB43" s="307"/>
      <c r="AC43" s="1145"/>
      <c r="AD43" s="1544">
        <v>0.1</v>
      </c>
      <c r="AE43" s="1819"/>
      <c r="AF43" s="255"/>
      <c r="AG43" s="1544">
        <v>0.1</v>
      </c>
      <c r="AH43" s="308"/>
      <c r="AI43" s="1816"/>
      <c r="AJ43" s="307">
        <f t="shared" si="2"/>
        <v>0</v>
      </c>
      <c r="AK43" s="1817"/>
      <c r="AL43" s="2843">
        <f>ROUND(IF(AG43=0,1,AJ43/ABS(AG43)),3)</f>
        <v>0</v>
      </c>
      <c r="AM43" s="1828"/>
      <c r="AN43" s="1828"/>
    </row>
    <row r="44" spans="1:40" ht="15.75">
      <c r="A44" s="218"/>
      <c r="B44" s="1541" t="s">
        <v>1129</v>
      </c>
      <c r="C44" s="1212"/>
      <c r="D44" s="218"/>
      <c r="E44" s="1544">
        <f t="shared" si="3"/>
        <v>2.4</v>
      </c>
      <c r="F44" s="1544"/>
      <c r="G44" s="1544"/>
      <c r="H44" s="1544"/>
      <c r="I44" s="1544"/>
      <c r="J44" s="1544"/>
      <c r="K44" s="1544"/>
      <c r="L44" s="2507"/>
      <c r="M44" s="2743"/>
      <c r="N44" s="2507"/>
      <c r="O44" s="2743"/>
      <c r="P44" s="2507"/>
      <c r="Q44" s="2914"/>
      <c r="R44" s="2507"/>
      <c r="S44" s="2914"/>
      <c r="T44" s="2507"/>
      <c r="U44" s="2914"/>
      <c r="V44" s="2507"/>
      <c r="W44" s="2914"/>
      <c r="X44" s="2507"/>
      <c r="Y44" s="2914"/>
      <c r="Z44" s="2507"/>
      <c r="AA44" s="2914"/>
      <c r="AB44" s="307"/>
      <c r="AC44" s="1145"/>
      <c r="AD44" s="1544">
        <v>2.4</v>
      </c>
      <c r="AE44" s="1819"/>
      <c r="AF44" s="255"/>
      <c r="AG44" s="1544">
        <v>1.9</v>
      </c>
      <c r="AH44" s="308"/>
      <c r="AI44" s="1816"/>
      <c r="AJ44" s="307">
        <f t="shared" si="2"/>
        <v>0.5</v>
      </c>
      <c r="AK44" s="1817"/>
      <c r="AL44" s="2849">
        <f>ROUND(IF(AG44=0,1,AJ44/ABS(AG44)),3)</f>
        <v>0.26300000000000001</v>
      </c>
      <c r="AM44" s="1828"/>
      <c r="AN44" s="1828"/>
    </row>
    <row r="45" spans="1:40" ht="15.75">
      <c r="A45" s="218"/>
      <c r="B45" s="1541" t="s">
        <v>1130</v>
      </c>
      <c r="C45" s="1212"/>
      <c r="D45" s="218"/>
      <c r="E45" s="1544">
        <f t="shared" si="3"/>
        <v>0.7</v>
      </c>
      <c r="F45" s="1544"/>
      <c r="G45" s="1544"/>
      <c r="H45" s="1544"/>
      <c r="I45" s="1544"/>
      <c r="J45" s="1544"/>
      <c r="K45" s="1544"/>
      <c r="L45" s="2507"/>
      <c r="M45" s="2743"/>
      <c r="N45" s="2507"/>
      <c r="O45" s="2743"/>
      <c r="P45" s="2507"/>
      <c r="Q45" s="2914"/>
      <c r="R45" s="2507"/>
      <c r="S45" s="2914"/>
      <c r="T45" s="2507"/>
      <c r="U45" s="2914"/>
      <c r="V45" s="2507"/>
      <c r="W45" s="2914"/>
      <c r="X45" s="2507"/>
      <c r="Y45" s="2914"/>
      <c r="Z45" s="2507"/>
      <c r="AA45" s="2914"/>
      <c r="AB45" s="307"/>
      <c r="AC45" s="1145"/>
      <c r="AD45" s="1544">
        <v>0.7</v>
      </c>
      <c r="AE45" s="1819"/>
      <c r="AF45" s="255"/>
      <c r="AG45" s="1544">
        <v>0.4</v>
      </c>
      <c r="AH45" s="308"/>
      <c r="AI45" s="1816"/>
      <c r="AJ45" s="307">
        <f t="shared" si="2"/>
        <v>0.3</v>
      </c>
      <c r="AK45" s="1817"/>
      <c r="AL45" s="2843">
        <f>ROUND(IF(AG45=0,1,AJ45/ABS(AG45)),3)</f>
        <v>0.75</v>
      </c>
      <c r="AM45" s="1828"/>
      <c r="AN45" s="1828"/>
    </row>
    <row r="46" spans="1:40" ht="15.75">
      <c r="A46" s="218"/>
      <c r="B46" s="1541" t="s">
        <v>1257</v>
      </c>
      <c r="C46" s="1212"/>
      <c r="D46" s="218"/>
      <c r="E46" s="1544" t="s">
        <v>15</v>
      </c>
      <c r="F46" s="1544"/>
      <c r="G46" s="1544"/>
      <c r="H46" s="1544"/>
      <c r="I46" s="1544"/>
      <c r="J46" s="1544"/>
      <c r="K46" s="1544"/>
      <c r="L46" s="2507"/>
      <c r="M46" s="2743"/>
      <c r="N46" s="2507"/>
      <c r="O46" s="2743"/>
      <c r="P46" s="2507"/>
      <c r="Q46" s="2914"/>
      <c r="R46" s="2507"/>
      <c r="S46" s="2914"/>
      <c r="T46" s="2507"/>
      <c r="U46" s="2914"/>
      <c r="V46" s="2507"/>
      <c r="W46" s="2914"/>
      <c r="X46" s="2507"/>
      <c r="Y46" s="2914"/>
      <c r="Z46" s="2507"/>
      <c r="AA46" s="2914"/>
      <c r="AB46" s="307"/>
      <c r="AC46" s="1145"/>
      <c r="AD46" s="1813"/>
      <c r="AE46" s="1819"/>
      <c r="AF46" s="255"/>
      <c r="AG46" s="1813"/>
      <c r="AH46" s="308"/>
      <c r="AI46" s="1816"/>
      <c r="AJ46" s="307"/>
      <c r="AK46" s="1817"/>
      <c r="AL46" s="2934"/>
      <c r="AM46" s="1828"/>
      <c r="AN46" s="1828"/>
    </row>
    <row r="47" spans="1:40" ht="15.75">
      <c r="A47" s="218"/>
      <c r="B47" s="1541" t="s">
        <v>1175</v>
      </c>
      <c r="C47" s="1212"/>
      <c r="D47" s="218"/>
      <c r="E47" s="1544">
        <f t="shared" si="3"/>
        <v>315.8</v>
      </c>
      <c r="F47" s="1544"/>
      <c r="G47" s="1544"/>
      <c r="H47" s="1544"/>
      <c r="I47" s="1544"/>
      <c r="J47" s="1544"/>
      <c r="K47" s="1544"/>
      <c r="L47" s="2507"/>
      <c r="M47" s="2743"/>
      <c r="N47" s="2507"/>
      <c r="O47" s="2743"/>
      <c r="P47" s="2507"/>
      <c r="Q47" s="2914"/>
      <c r="R47" s="2507"/>
      <c r="S47" s="2914"/>
      <c r="T47" s="2507"/>
      <c r="U47" s="2914"/>
      <c r="V47" s="2507"/>
      <c r="W47" s="2914"/>
      <c r="X47" s="2507"/>
      <c r="Y47" s="2914"/>
      <c r="Z47" s="2507"/>
      <c r="AA47" s="2914"/>
      <c r="AB47" s="307"/>
      <c r="AC47" s="1145"/>
      <c r="AD47" s="1544">
        <v>315.8</v>
      </c>
      <c r="AE47" s="1819"/>
      <c r="AF47" s="255"/>
      <c r="AG47" s="1544">
        <v>0</v>
      </c>
      <c r="AH47" s="308"/>
      <c r="AI47" s="1816"/>
      <c r="AJ47" s="307">
        <f t="shared" si="2"/>
        <v>315.8</v>
      </c>
      <c r="AK47" s="1817"/>
      <c r="AL47" s="2744">
        <f>ROUND(IF(AG47=0,1,AJ47/ABS(AG47)),3)</f>
        <v>1</v>
      </c>
      <c r="AM47" s="1828"/>
      <c r="AN47" s="1828"/>
    </row>
    <row r="48" spans="1:40" s="1561" customFormat="1" ht="15.75">
      <c r="A48" s="2376"/>
      <c r="B48" s="1541" t="s">
        <v>1177</v>
      </c>
      <c r="C48" s="1212"/>
      <c r="D48" s="1212"/>
      <c r="E48" s="1544">
        <f t="shared" si="3"/>
        <v>0</v>
      </c>
      <c r="F48" s="2515">
        <v>0</v>
      </c>
      <c r="G48" s="1544"/>
      <c r="H48" s="2515"/>
      <c r="I48" s="1544"/>
      <c r="J48" s="2515"/>
      <c r="K48" s="1544"/>
      <c r="L48" s="2507"/>
      <c r="M48" s="2743"/>
      <c r="N48" s="2507"/>
      <c r="O48" s="2743"/>
      <c r="P48" s="2507"/>
      <c r="Q48" s="2914"/>
      <c r="R48" s="2507"/>
      <c r="S48" s="2914"/>
      <c r="T48" s="2507"/>
      <c r="U48" s="2914"/>
      <c r="V48" s="2507"/>
      <c r="W48" s="2914"/>
      <c r="X48" s="2507"/>
      <c r="Y48" s="2914"/>
      <c r="Z48" s="2507"/>
      <c r="AA48" s="2914"/>
      <c r="AB48" s="1544"/>
      <c r="AC48" s="2294"/>
      <c r="AD48" s="1544">
        <v>0</v>
      </c>
      <c r="AE48" s="2379"/>
      <c r="AF48" s="1740"/>
      <c r="AG48" s="1544">
        <v>0</v>
      </c>
      <c r="AH48" s="1206"/>
      <c r="AI48" s="1816"/>
      <c r="AJ48" s="1544">
        <f t="shared" si="2"/>
        <v>0</v>
      </c>
      <c r="AK48" s="2842"/>
      <c r="AL48" s="2843">
        <f>ROUND(IF(AG48=0,0,AJ48/ABS(AG48)),3)</f>
        <v>0</v>
      </c>
      <c r="AM48" s="3608"/>
      <c r="AN48" s="3608"/>
    </row>
    <row r="49" spans="1:41" ht="15.75">
      <c r="A49" s="218"/>
      <c r="B49" s="1541" t="s">
        <v>1178</v>
      </c>
      <c r="C49" s="1212"/>
      <c r="D49" s="218"/>
      <c r="E49" s="1544">
        <f t="shared" si="3"/>
        <v>0.5</v>
      </c>
      <c r="F49" s="1544"/>
      <c r="G49" s="1544"/>
      <c r="H49" s="1544"/>
      <c r="I49" s="1544"/>
      <c r="J49" s="1544"/>
      <c r="K49" s="1544"/>
      <c r="L49" s="2507"/>
      <c r="M49" s="2743"/>
      <c r="N49" s="2507"/>
      <c r="O49" s="2743"/>
      <c r="P49" s="2507"/>
      <c r="Q49" s="2914"/>
      <c r="R49" s="2507"/>
      <c r="S49" s="2914"/>
      <c r="T49" s="2507"/>
      <c r="U49" s="2914"/>
      <c r="V49" s="2507"/>
      <c r="W49" s="2914"/>
      <c r="X49" s="2507"/>
      <c r="Y49" s="2914"/>
      <c r="Z49" s="2507"/>
      <c r="AA49" s="2914"/>
      <c r="AB49" s="307"/>
      <c r="AC49" s="1145"/>
      <c r="AD49" s="1544">
        <v>0.5</v>
      </c>
      <c r="AE49" s="1819"/>
      <c r="AF49" s="255"/>
      <c r="AG49" s="1544">
        <v>0.9</v>
      </c>
      <c r="AH49" s="308"/>
      <c r="AI49" s="1816"/>
      <c r="AJ49" s="307">
        <f t="shared" si="2"/>
        <v>-0.4</v>
      </c>
      <c r="AK49" s="1817"/>
      <c r="AL49" s="3609">
        <f>ROUND(IF(AG49=0,1,AJ49/ABS(AG49)),3)</f>
        <v>-0.44400000000000001</v>
      </c>
      <c r="AM49" s="1828"/>
      <c r="AN49" s="1828"/>
    </row>
    <row r="50" spans="1:41" ht="15.75">
      <c r="A50" s="218"/>
      <c r="B50" s="1541" t="s">
        <v>1148</v>
      </c>
      <c r="C50" s="1212"/>
      <c r="D50" s="218"/>
      <c r="E50" s="1544">
        <f t="shared" si="3"/>
        <v>0.2</v>
      </c>
      <c r="F50" s="1544"/>
      <c r="G50" s="1544"/>
      <c r="H50" s="1544"/>
      <c r="I50" s="1544"/>
      <c r="J50" s="1544"/>
      <c r="K50" s="1544"/>
      <c r="L50" s="2507"/>
      <c r="M50" s="2743"/>
      <c r="N50" s="2507"/>
      <c r="O50" s="2743"/>
      <c r="P50" s="2507"/>
      <c r="Q50" s="2914"/>
      <c r="R50" s="2507"/>
      <c r="S50" s="2914"/>
      <c r="T50" s="2507"/>
      <c r="U50" s="2914"/>
      <c r="V50" s="2507"/>
      <c r="W50" s="2914"/>
      <c r="X50" s="2507"/>
      <c r="Y50" s="2914"/>
      <c r="Z50" s="2507"/>
      <c r="AA50" s="2914"/>
      <c r="AB50" s="307"/>
      <c r="AC50" s="1145"/>
      <c r="AD50" s="1544">
        <v>0.2</v>
      </c>
      <c r="AE50" s="1819"/>
      <c r="AF50" s="255"/>
      <c r="AG50" s="1544">
        <v>0.2</v>
      </c>
      <c r="AH50" s="308"/>
      <c r="AI50" s="1816"/>
      <c r="AJ50" s="307">
        <f t="shared" si="2"/>
        <v>0</v>
      </c>
      <c r="AK50" s="1817"/>
      <c r="AL50" s="2744">
        <f>ROUND(IF(AG50=0,1,AJ50/ABS(AG50)),3)</f>
        <v>0</v>
      </c>
      <c r="AM50" s="1828"/>
      <c r="AN50" s="1828"/>
    </row>
    <row r="51" spans="1:41" ht="15.75">
      <c r="A51" s="218"/>
      <c r="B51" s="1541" t="s">
        <v>1149</v>
      </c>
      <c r="C51" s="1212"/>
      <c r="D51" s="218"/>
      <c r="E51" s="1544">
        <f t="shared" si="3"/>
        <v>0.5</v>
      </c>
      <c r="F51" s="1544"/>
      <c r="G51" s="1544"/>
      <c r="H51" s="1544"/>
      <c r="I51" s="1544"/>
      <c r="J51" s="1544"/>
      <c r="K51" s="1544"/>
      <c r="L51" s="2507"/>
      <c r="M51" s="2743"/>
      <c r="N51" s="2507"/>
      <c r="O51" s="2743"/>
      <c r="P51" s="2507"/>
      <c r="Q51" s="2914"/>
      <c r="R51" s="2507"/>
      <c r="S51" s="2914"/>
      <c r="T51" s="2507"/>
      <c r="U51" s="2914"/>
      <c r="V51" s="2507"/>
      <c r="W51" s="2914"/>
      <c r="X51" s="2507"/>
      <c r="Y51" s="2914"/>
      <c r="Z51" s="2507"/>
      <c r="AA51" s="2914"/>
      <c r="AB51" s="307"/>
      <c r="AC51" s="1145"/>
      <c r="AD51" s="1544">
        <v>0.5</v>
      </c>
      <c r="AE51" s="1819"/>
      <c r="AF51" s="255"/>
      <c r="AG51" s="1544">
        <v>0.8</v>
      </c>
      <c r="AH51" s="308"/>
      <c r="AI51" s="1816"/>
      <c r="AJ51" s="307">
        <f t="shared" si="2"/>
        <v>-0.3</v>
      </c>
      <c r="AK51" s="1817"/>
      <c r="AL51" s="2744">
        <f>ROUND(IF(AG51=0,0,AJ51/ABS(AG51)),3)</f>
        <v>-0.375</v>
      </c>
      <c r="AM51" s="1828"/>
      <c r="AN51" s="1828"/>
    </row>
    <row r="52" spans="1:41" ht="15.75">
      <c r="A52" s="218"/>
      <c r="B52" s="1541" t="s">
        <v>1258</v>
      </c>
      <c r="C52" s="1212"/>
      <c r="D52" s="218"/>
      <c r="E52" s="1544" t="s">
        <v>15</v>
      </c>
      <c r="F52" s="1544"/>
      <c r="G52" s="1544"/>
      <c r="H52" s="1544"/>
      <c r="I52" s="1544"/>
      <c r="J52" s="1544"/>
      <c r="K52" s="1544"/>
      <c r="L52" s="2507"/>
      <c r="M52" s="2743"/>
      <c r="N52" s="2507"/>
      <c r="O52" s="2743"/>
      <c r="P52" s="2507"/>
      <c r="Q52" s="2914"/>
      <c r="R52" s="2507"/>
      <c r="S52" s="2914"/>
      <c r="T52" s="2507"/>
      <c r="U52" s="2914"/>
      <c r="V52" s="2507"/>
      <c r="W52" s="2914"/>
      <c r="X52" s="2507"/>
      <c r="Y52" s="2914"/>
      <c r="Z52" s="2507"/>
      <c r="AA52" s="2914"/>
      <c r="AB52" s="307"/>
      <c r="AC52" s="1145"/>
      <c r="AD52" s="1813"/>
      <c r="AE52" s="1819"/>
      <c r="AF52" s="255"/>
      <c r="AG52" s="1813"/>
      <c r="AH52" s="308"/>
      <c r="AI52" s="1816"/>
      <c r="AJ52" s="307"/>
      <c r="AK52" s="1817"/>
      <c r="AL52" s="2934"/>
      <c r="AM52" s="1828"/>
      <c r="AN52" s="1828"/>
    </row>
    <row r="53" spans="1:41" ht="15.75">
      <c r="A53" s="218"/>
      <c r="B53" s="1541" t="s">
        <v>1179</v>
      </c>
      <c r="C53" s="1212"/>
      <c r="D53" s="218"/>
      <c r="E53" s="1544">
        <f t="shared" si="3"/>
        <v>0</v>
      </c>
      <c r="F53" s="2515">
        <v>0</v>
      </c>
      <c r="G53" s="1544"/>
      <c r="H53" s="1544"/>
      <c r="I53" s="1544"/>
      <c r="J53" s="1544"/>
      <c r="K53" s="1544"/>
      <c r="L53" s="2507"/>
      <c r="M53" s="2743"/>
      <c r="N53" s="2507"/>
      <c r="O53" s="2743"/>
      <c r="P53" s="2507"/>
      <c r="Q53" s="2914"/>
      <c r="R53" s="2507"/>
      <c r="S53" s="2914"/>
      <c r="T53" s="2507"/>
      <c r="U53" s="2914"/>
      <c r="V53" s="2507"/>
      <c r="W53" s="2914"/>
      <c r="X53" s="2507"/>
      <c r="Y53" s="2914"/>
      <c r="Z53" s="2507"/>
      <c r="AA53" s="2914"/>
      <c r="AB53" s="307"/>
      <c r="AC53" s="1145"/>
      <c r="AD53" s="1544">
        <v>0</v>
      </c>
      <c r="AE53" s="1819"/>
      <c r="AF53" s="255"/>
      <c r="AG53" s="1544">
        <v>0</v>
      </c>
      <c r="AH53" s="308"/>
      <c r="AI53" s="1816"/>
      <c r="AJ53" s="307">
        <f t="shared" si="2"/>
        <v>0</v>
      </c>
      <c r="AK53" s="1817"/>
      <c r="AL53" s="2744">
        <f>ROUND(IF(AG53=0,0,AJ53/ABS(AG53)),3)</f>
        <v>0</v>
      </c>
      <c r="AM53" s="1828"/>
      <c r="AN53" s="1828"/>
    </row>
    <row r="54" spans="1:41" ht="15.75">
      <c r="A54" s="218"/>
      <c r="B54" s="1541" t="s">
        <v>1181</v>
      </c>
      <c r="C54" s="1212"/>
      <c r="D54" s="218"/>
      <c r="E54" s="1544">
        <f t="shared" si="3"/>
        <v>0</v>
      </c>
      <c r="F54" s="2515">
        <v>0</v>
      </c>
      <c r="G54" s="1544"/>
      <c r="H54" s="1544"/>
      <c r="I54" s="1544"/>
      <c r="J54" s="1544"/>
      <c r="K54" s="1544"/>
      <c r="L54" s="2507"/>
      <c r="M54" s="2743"/>
      <c r="N54" s="2507"/>
      <c r="O54" s="2743"/>
      <c r="P54" s="2507"/>
      <c r="Q54" s="2914"/>
      <c r="R54" s="2507"/>
      <c r="S54" s="2914"/>
      <c r="T54" s="2507"/>
      <c r="U54" s="2914"/>
      <c r="V54" s="2507"/>
      <c r="W54" s="2914"/>
      <c r="X54" s="2507"/>
      <c r="Y54" s="2914"/>
      <c r="Z54" s="2507"/>
      <c r="AA54" s="2914"/>
      <c r="AB54" s="307"/>
      <c r="AC54" s="1145"/>
      <c r="AD54" s="1544">
        <v>0</v>
      </c>
      <c r="AE54" s="1819"/>
      <c r="AF54" s="255"/>
      <c r="AG54" s="1544">
        <v>0.5</v>
      </c>
      <c r="AH54" s="308"/>
      <c r="AI54" s="1816"/>
      <c r="AJ54" s="307">
        <f t="shared" si="2"/>
        <v>-0.5</v>
      </c>
      <c r="AK54" s="1817"/>
      <c r="AL54" s="2744">
        <f>ROUND(IF(AG54=0,1,AJ54/ABS(AG54)),3)</f>
        <v>-1</v>
      </c>
      <c r="AM54" s="1828"/>
      <c r="AN54" s="1828"/>
    </row>
    <row r="55" spans="1:41" ht="15.75">
      <c r="A55" s="218"/>
      <c r="B55" s="1541" t="s">
        <v>1182</v>
      </c>
      <c r="C55" s="1212"/>
      <c r="D55" s="218"/>
      <c r="E55" s="1544">
        <f t="shared" si="3"/>
        <v>0</v>
      </c>
      <c r="F55" s="2515"/>
      <c r="G55" s="1544"/>
      <c r="H55" s="1544"/>
      <c r="I55" s="1544"/>
      <c r="J55" s="1544"/>
      <c r="K55" s="1544"/>
      <c r="L55" s="2507"/>
      <c r="M55" s="2743"/>
      <c r="N55" s="2507"/>
      <c r="O55" s="2743"/>
      <c r="P55" s="2507"/>
      <c r="Q55" s="2914"/>
      <c r="R55" s="2507"/>
      <c r="S55" s="2914"/>
      <c r="T55" s="2507"/>
      <c r="U55" s="2914"/>
      <c r="V55" s="2507"/>
      <c r="W55" s="2914"/>
      <c r="X55" s="2507"/>
      <c r="Y55" s="2914"/>
      <c r="Z55" s="2507"/>
      <c r="AA55" s="2914"/>
      <c r="AB55" s="307"/>
      <c r="AC55" s="1145"/>
      <c r="AD55" s="1544">
        <v>0</v>
      </c>
      <c r="AE55" s="2635"/>
      <c r="AF55" s="255"/>
      <c r="AG55" s="1544">
        <v>0</v>
      </c>
      <c r="AH55" s="308"/>
      <c r="AI55" s="1816"/>
      <c r="AJ55" s="307">
        <f t="shared" si="2"/>
        <v>0</v>
      </c>
      <c r="AK55" s="1817"/>
      <c r="AL55" s="2744">
        <f>ROUND(IF(AG55=0,0,AJ55/ABS(AG55)),3)</f>
        <v>0</v>
      </c>
      <c r="AM55" s="1828"/>
      <c r="AN55" s="1828"/>
    </row>
    <row r="56" spans="1:41" ht="15.75">
      <c r="A56" s="218"/>
      <c r="B56" s="1541" t="s">
        <v>1184</v>
      </c>
      <c r="C56" s="1212"/>
      <c r="D56" s="218"/>
      <c r="E56" s="1544">
        <f t="shared" si="3"/>
        <v>0</v>
      </c>
      <c r="F56" s="2515"/>
      <c r="G56" s="1544"/>
      <c r="H56" s="1544"/>
      <c r="I56" s="1544"/>
      <c r="J56" s="1544"/>
      <c r="K56" s="1544"/>
      <c r="L56" s="2507"/>
      <c r="M56" s="2743"/>
      <c r="N56" s="2507"/>
      <c r="O56" s="2743"/>
      <c r="P56" s="2507"/>
      <c r="Q56" s="2914"/>
      <c r="R56" s="2507"/>
      <c r="S56" s="2914"/>
      <c r="T56" s="2507"/>
      <c r="U56" s="2914"/>
      <c r="V56" s="2507"/>
      <c r="W56" s="2914"/>
      <c r="X56" s="2507"/>
      <c r="Y56" s="2914"/>
      <c r="Z56" s="2507"/>
      <c r="AA56" s="2914"/>
      <c r="AB56" s="307"/>
      <c r="AC56" s="1145"/>
      <c r="AD56" s="1544">
        <v>0</v>
      </c>
      <c r="AE56" s="2591"/>
      <c r="AF56" s="255"/>
      <c r="AG56" s="1544">
        <v>0</v>
      </c>
      <c r="AH56" s="308"/>
      <c r="AI56" s="1816"/>
      <c r="AJ56" s="307">
        <f>ROUND(AD56-AG56,1)</f>
        <v>0</v>
      </c>
      <c r="AK56" s="1817"/>
      <c r="AL56" s="2744">
        <f>ROUND(IF(AG56=0,0,AJ56/ABS(AG56)),3)</f>
        <v>0</v>
      </c>
      <c r="AM56" s="1828"/>
      <c r="AN56" s="1828"/>
    </row>
    <row r="57" spans="1:41" ht="15.75">
      <c r="A57" s="218"/>
      <c r="B57" s="1541" t="s">
        <v>1185</v>
      </c>
      <c r="C57" s="1212"/>
      <c r="D57" s="218"/>
      <c r="E57" s="1544">
        <f t="shared" si="3"/>
        <v>0.1</v>
      </c>
      <c r="F57" s="2515">
        <v>0</v>
      </c>
      <c r="G57" s="1544"/>
      <c r="H57" s="1544"/>
      <c r="I57" s="1544"/>
      <c r="J57" s="1544"/>
      <c r="K57" s="1544"/>
      <c r="L57" s="2507"/>
      <c r="M57" s="2743"/>
      <c r="N57" s="2507"/>
      <c r="O57" s="2743"/>
      <c r="P57" s="2507"/>
      <c r="Q57" s="2914"/>
      <c r="R57" s="2507"/>
      <c r="S57" s="2914"/>
      <c r="T57" s="2507"/>
      <c r="U57" s="2914"/>
      <c r="V57" s="2507"/>
      <c r="W57" s="2914"/>
      <c r="X57" s="2507"/>
      <c r="Y57" s="2914"/>
      <c r="Z57" s="2507"/>
      <c r="AA57" s="2914"/>
      <c r="AB57" s="307"/>
      <c r="AC57" s="1145"/>
      <c r="AD57" s="1544">
        <v>0.1</v>
      </c>
      <c r="AE57" s="1819"/>
      <c r="AF57" s="255"/>
      <c r="AG57" s="1544">
        <v>0.1</v>
      </c>
      <c r="AH57" s="308"/>
      <c r="AI57" s="1816"/>
      <c r="AJ57" s="307">
        <f t="shared" si="2"/>
        <v>0</v>
      </c>
      <c r="AK57" s="1817"/>
      <c r="AL57" s="2843">
        <f>ROUND(IF(AG57=0,1,AJ57/ABS(AG57)),3)</f>
        <v>0</v>
      </c>
      <c r="AM57" s="1828"/>
      <c r="AN57" s="1828"/>
    </row>
    <row r="58" spans="1:41" ht="15.75">
      <c r="A58" s="218"/>
      <c r="B58" s="1541" t="s">
        <v>1187</v>
      </c>
      <c r="C58" s="1212"/>
      <c r="D58" s="218"/>
      <c r="E58" s="1544">
        <f t="shared" si="3"/>
        <v>1.1000000000000001</v>
      </c>
      <c r="F58" s="2515">
        <v>0</v>
      </c>
      <c r="G58" s="1544"/>
      <c r="H58" s="1544"/>
      <c r="I58" s="1544"/>
      <c r="J58" s="1544"/>
      <c r="K58" s="1544"/>
      <c r="L58" s="2507"/>
      <c r="M58" s="2743"/>
      <c r="N58" s="2507"/>
      <c r="O58" s="2743"/>
      <c r="P58" s="2507"/>
      <c r="Q58" s="2914"/>
      <c r="R58" s="2507"/>
      <c r="S58" s="2914"/>
      <c r="T58" s="2507"/>
      <c r="U58" s="2914"/>
      <c r="V58" s="2507"/>
      <c r="W58" s="2914"/>
      <c r="X58" s="2507"/>
      <c r="Y58" s="2914"/>
      <c r="Z58" s="2507"/>
      <c r="AA58" s="2914"/>
      <c r="AB58" s="307"/>
      <c r="AC58" s="1145"/>
      <c r="AD58" s="2949">
        <v>1.1000000000000001</v>
      </c>
      <c r="AE58" s="3289"/>
      <c r="AF58" s="3290"/>
      <c r="AG58" s="2949">
        <v>0.5</v>
      </c>
      <c r="AH58" s="308"/>
      <c r="AI58" s="1816"/>
      <c r="AJ58" s="307">
        <f t="shared" si="2"/>
        <v>0.6</v>
      </c>
      <c r="AK58" s="1817"/>
      <c r="AL58" s="3610">
        <f>ROUND(IF(AG58=0,0,AJ58/ABS(AG58)),3)</f>
        <v>1.2</v>
      </c>
      <c r="AM58" s="1828"/>
      <c r="AN58" s="1828"/>
    </row>
    <row r="59" spans="1:41" ht="15.75">
      <c r="A59" s="218"/>
      <c r="B59" s="1541" t="s">
        <v>1159</v>
      </c>
      <c r="C59" s="1212"/>
      <c r="D59" s="218"/>
      <c r="E59" s="1544">
        <f t="shared" si="3"/>
        <v>0.1</v>
      </c>
      <c r="F59" s="2515">
        <v>0</v>
      </c>
      <c r="G59" s="1544"/>
      <c r="H59" s="1544"/>
      <c r="I59" s="1544"/>
      <c r="J59" s="1544"/>
      <c r="K59" s="1544"/>
      <c r="L59" s="2507"/>
      <c r="M59" s="2743"/>
      <c r="N59" s="2507"/>
      <c r="O59" s="2743"/>
      <c r="P59" s="2507"/>
      <c r="Q59" s="2914"/>
      <c r="R59" s="2507"/>
      <c r="S59" s="2914"/>
      <c r="T59" s="2507"/>
      <c r="U59" s="2914"/>
      <c r="V59" s="2507"/>
      <c r="W59" s="2914"/>
      <c r="X59" s="2507"/>
      <c r="Y59" s="2914"/>
      <c r="Z59" s="2507"/>
      <c r="AA59" s="2914"/>
      <c r="AB59" s="307"/>
      <c r="AC59" s="1145"/>
      <c r="AD59" s="2949">
        <v>0.1</v>
      </c>
      <c r="AE59" s="3289"/>
      <c r="AF59" s="3290"/>
      <c r="AG59" s="2949">
        <v>0.1</v>
      </c>
      <c r="AH59" s="308"/>
      <c r="AI59" s="1816"/>
      <c r="AJ59" s="307">
        <f t="shared" si="2"/>
        <v>0</v>
      </c>
      <c r="AK59" s="1817"/>
      <c r="AL59" s="2921">
        <f>ROUND(IF(AG59=0,1,AJ59/ABS(AG59)),3)</f>
        <v>0</v>
      </c>
      <c r="AM59" s="1828"/>
      <c r="AN59" s="3611"/>
    </row>
    <row r="60" spans="1:41" s="612" customFormat="1" ht="15.75" collapsed="1">
      <c r="A60" s="216"/>
      <c r="B60" s="555" t="s">
        <v>1304</v>
      </c>
      <c r="C60" s="216"/>
      <c r="D60" s="216"/>
      <c r="E60" s="2514">
        <f>ROUND(SUM(E34:E59),1)</f>
        <v>406.9</v>
      </c>
      <c r="F60" s="301"/>
      <c r="G60" s="2514">
        <f>ROUND(SUM(G34:G59),1)</f>
        <v>0</v>
      </c>
      <c r="H60" s="1834"/>
      <c r="I60" s="2514">
        <f>ROUND(SUM(I34:I59),1)</f>
        <v>0</v>
      </c>
      <c r="J60" s="301"/>
      <c r="K60" s="2514">
        <f>ROUND(SUM(K34:K59),1)</f>
        <v>0</v>
      </c>
      <c r="L60" s="2502"/>
      <c r="M60" s="2514">
        <f>ROUND(SUM(M34:M59),1)</f>
        <v>0</v>
      </c>
      <c r="N60" s="2502"/>
      <c r="O60" s="2514">
        <f>ROUND(SUM(O34:O59),1)</f>
        <v>0</v>
      </c>
      <c r="P60" s="254"/>
      <c r="Q60" s="2514">
        <f>ROUND(SUM(Q34:Q59),1)</f>
        <v>0</v>
      </c>
      <c r="R60" s="254"/>
      <c r="S60" s="2514">
        <f>ROUND(SUM(S34:S59),1)</f>
        <v>0</v>
      </c>
      <c r="T60" s="254"/>
      <c r="U60" s="2514">
        <f>ROUND(SUM(U34:U59),1)</f>
        <v>0</v>
      </c>
      <c r="V60" s="307"/>
      <c r="W60" s="2514">
        <f>ROUND(SUM(W34:W59),1)</f>
        <v>0</v>
      </c>
      <c r="X60" s="307"/>
      <c r="Y60" s="2514">
        <f>ROUND(SUM(Y34:Y59),1)</f>
        <v>0</v>
      </c>
      <c r="Z60" s="307"/>
      <c r="AA60" s="2514">
        <f>ROUND(SUM(AA34:AA59),1)</f>
        <v>0</v>
      </c>
      <c r="AB60" s="301"/>
      <c r="AC60" s="1146"/>
      <c r="AD60" s="2514">
        <f>ROUND(SUM(AD34:AD59),1)</f>
        <v>406.9</v>
      </c>
      <c r="AE60" s="1820"/>
      <c r="AF60" s="304"/>
      <c r="AG60" s="2514">
        <f>ROUND(SUM(AG34:AG59),1)</f>
        <v>91.9</v>
      </c>
      <c r="AH60" s="1853"/>
      <c r="AI60" s="1816"/>
      <c r="AJ60" s="2514">
        <f>ROUND(SUM(AJ34:AJ59),1)</f>
        <v>315</v>
      </c>
      <c r="AK60" s="3612"/>
      <c r="AL60" s="3613">
        <f>ROUND(IF(AG60=0,0,AJ60/ABS(AG60)),3)</f>
        <v>3.4279999999999999</v>
      </c>
      <c r="AM60" s="3614"/>
      <c r="AN60" s="3614"/>
    </row>
    <row r="61" spans="1:41" s="612" customFormat="1" ht="15.75">
      <c r="A61" s="216"/>
      <c r="B61" s="555"/>
      <c r="C61" s="216"/>
      <c r="D61" s="216"/>
      <c r="E61" s="304"/>
      <c r="F61" s="301"/>
      <c r="G61" s="304"/>
      <c r="H61" s="1834"/>
      <c r="I61" s="304"/>
      <c r="J61" s="301"/>
      <c r="K61" s="304"/>
      <c r="L61" s="2507"/>
      <c r="M61" s="2743"/>
      <c r="N61" s="2507"/>
      <c r="O61" s="2743"/>
      <c r="P61" s="2507"/>
      <c r="Q61" s="2743"/>
      <c r="R61" s="2507"/>
      <c r="S61" s="2743"/>
      <c r="T61" s="2507"/>
      <c r="U61" s="2743"/>
      <c r="V61" s="2507"/>
      <c r="W61" s="2743"/>
      <c r="X61" s="2507"/>
      <c r="Y61" s="2743"/>
      <c r="Z61" s="2507"/>
      <c r="AA61" s="2743"/>
      <c r="AB61" s="301"/>
      <c r="AC61" s="1146"/>
      <c r="AD61" s="304"/>
      <c r="AE61" s="1855"/>
      <c r="AF61" s="304"/>
      <c r="AG61" s="304"/>
      <c r="AH61" s="1853"/>
      <c r="AI61" s="1816"/>
      <c r="AJ61" s="304"/>
      <c r="AK61" s="3612"/>
      <c r="AL61" s="3615"/>
      <c r="AM61" s="3614"/>
      <c r="AN61" s="3614"/>
    </row>
    <row r="62" spans="1:41" ht="15.75">
      <c r="A62" s="218"/>
      <c r="B62" s="218" t="s">
        <v>151</v>
      </c>
      <c r="C62" s="218"/>
      <c r="D62" s="218"/>
      <c r="E62" s="1544">
        <f>$AD62</f>
        <v>0</v>
      </c>
      <c r="F62" s="1544"/>
      <c r="G62" s="1544"/>
      <c r="H62" s="1544"/>
      <c r="I62" s="1544"/>
      <c r="J62" s="1544"/>
      <c r="K62" s="1544"/>
      <c r="L62" s="2507"/>
      <c r="M62" s="2935"/>
      <c r="N62" s="2507"/>
      <c r="O62" s="2743"/>
      <c r="P62" s="2507"/>
      <c r="Q62" s="2914"/>
      <c r="R62" s="2507"/>
      <c r="S62" s="2914"/>
      <c r="T62" s="2507"/>
      <c r="U62" s="2914"/>
      <c r="V62" s="2507"/>
      <c r="W62" s="2914"/>
      <c r="X62" s="2507"/>
      <c r="Y62" s="2914"/>
      <c r="Z62" s="2507"/>
      <c r="AA62" s="2914"/>
      <c r="AB62" s="307"/>
      <c r="AC62" s="1145"/>
      <c r="AD62" s="1544">
        <v>0</v>
      </c>
      <c r="AE62" s="1815"/>
      <c r="AF62" s="255"/>
      <c r="AG62" s="1544">
        <v>0</v>
      </c>
      <c r="AH62" s="308"/>
      <c r="AI62" s="1849"/>
      <c r="AJ62" s="307">
        <f>ROUND(AD62-AG62,1)</f>
        <v>0</v>
      </c>
      <c r="AK62" s="1817"/>
      <c r="AL62" s="2846">
        <f>ROUND(IF(AG62=0,0,AJ62/ABS(AG62)),3)</f>
        <v>0</v>
      </c>
      <c r="AM62" s="1828"/>
      <c r="AN62" s="1828"/>
    </row>
    <row r="63" spans="1:41" ht="15.75">
      <c r="A63" s="218"/>
      <c r="B63" s="218"/>
      <c r="C63" s="218"/>
      <c r="D63" s="218"/>
      <c r="E63" s="1758"/>
      <c r="F63" s="1544"/>
      <c r="G63" s="1758"/>
      <c r="H63" s="1544"/>
      <c r="I63" s="1758"/>
      <c r="J63" s="1544"/>
      <c r="K63" s="3062"/>
      <c r="L63" s="2507"/>
      <c r="M63" s="3464"/>
      <c r="N63" s="3088"/>
      <c r="O63" s="3464"/>
      <c r="P63" s="3088"/>
      <c r="Q63" s="3464"/>
      <c r="R63" s="3088"/>
      <c r="S63" s="3464"/>
      <c r="T63" s="3088"/>
      <c r="U63" s="3464"/>
      <c r="V63" s="3088"/>
      <c r="W63" s="3464"/>
      <c r="X63" s="3088"/>
      <c r="Y63" s="3464"/>
      <c r="Z63" s="3088"/>
      <c r="AA63" s="3464"/>
      <c r="AB63" s="307"/>
      <c r="AC63" s="1145"/>
      <c r="AD63" s="315"/>
      <c r="AE63" s="1815"/>
      <c r="AF63" s="255"/>
      <c r="AG63" s="315"/>
      <c r="AH63" s="255"/>
      <c r="AI63" s="1849"/>
      <c r="AJ63" s="315"/>
      <c r="AK63" s="1846"/>
      <c r="AL63" s="3616"/>
      <c r="AM63" s="1828"/>
      <c r="AN63" s="1828"/>
    </row>
    <row r="64" spans="1:41" ht="15.75">
      <c r="A64" s="218"/>
      <c r="B64" s="216" t="s">
        <v>199</v>
      </c>
      <c r="C64" s="218"/>
      <c r="D64" s="218"/>
      <c r="E64" s="302">
        <f>ROUND(SUM(E32+E60+E62),1)</f>
        <v>518.9</v>
      </c>
      <c r="F64" s="301"/>
      <c r="G64" s="3063">
        <f>ROUND(SUM(G32+G60+G62),1)</f>
        <v>0</v>
      </c>
      <c r="H64" s="301"/>
      <c r="I64" s="3063">
        <f>ROUND(SUM(I32+I60+I62),1)</f>
        <v>0</v>
      </c>
      <c r="J64" s="301"/>
      <c r="K64" s="3063">
        <f>ROUND(SUM(K32+K60+K62),1)</f>
        <v>0</v>
      </c>
      <c r="L64" s="1587"/>
      <c r="M64" s="1856">
        <f>ROUND(SUM(M32+M60+M62),1)</f>
        <v>0</v>
      </c>
      <c r="N64" s="304"/>
      <c r="O64" s="1856">
        <f>ROUND(SUM(O32+O60+O62),1)</f>
        <v>0</v>
      </c>
      <c r="P64" s="304"/>
      <c r="Q64" s="1856">
        <f>ROUND(SUM(Q32+Q60+Q62),1)</f>
        <v>0</v>
      </c>
      <c r="R64" s="304"/>
      <c r="S64" s="1856">
        <f>ROUND(SUM(S32+S60+S62),1)</f>
        <v>0</v>
      </c>
      <c r="T64" s="304"/>
      <c r="U64" s="1856">
        <f>ROUND(SUM(U32+U60+U62),1)</f>
        <v>0</v>
      </c>
      <c r="V64" s="304"/>
      <c r="W64" s="1856">
        <f>ROUND(SUM(W32+W60+W62),1)</f>
        <v>0</v>
      </c>
      <c r="X64" s="304"/>
      <c r="Y64" s="1856">
        <f>ROUND(SUM(Y32+Y60+Y62),1)</f>
        <v>0</v>
      </c>
      <c r="Z64" s="304"/>
      <c r="AA64" s="1856">
        <f>ROUND(SUM(AA32+AA60+AA62),1)</f>
        <v>0</v>
      </c>
      <c r="AB64" s="301"/>
      <c r="AC64" s="1146"/>
      <c r="AD64" s="1856">
        <f>ROUND(SUM(AD32+AD60+AD62),1)</f>
        <v>518.9</v>
      </c>
      <c r="AE64" s="1820"/>
      <c r="AF64" s="304"/>
      <c r="AG64" s="1856">
        <f>ROUND(SUM(AG32+AG60+AG62),1)</f>
        <v>191</v>
      </c>
      <c r="AH64" s="1853"/>
      <c r="AI64" s="1849"/>
      <c r="AJ64" s="1856">
        <f>ROUND(SUM(AJ32+AJ60+AJ62),1)</f>
        <v>327.9</v>
      </c>
      <c r="AK64" s="1869"/>
      <c r="AL64" s="3617">
        <f>ROUND(IF(AG64=0,0,AJ64/ABS(AG64)),3)</f>
        <v>1.7170000000000001</v>
      </c>
      <c r="AM64" s="3614"/>
      <c r="AN64" s="1828"/>
      <c r="AO64" s="357"/>
    </row>
    <row r="65" spans="1:41" ht="15.75">
      <c r="A65" s="218"/>
      <c r="B65" s="218"/>
      <c r="C65" s="218"/>
      <c r="D65" s="218"/>
      <c r="E65" s="1740"/>
      <c r="F65" s="1544"/>
      <c r="G65" s="1758"/>
      <c r="H65" s="1544"/>
      <c r="I65" s="1758"/>
      <c r="J65" s="1544"/>
      <c r="K65" s="1758"/>
      <c r="L65" s="2507"/>
      <c r="M65" s="2743"/>
      <c r="N65" s="2507"/>
      <c r="O65" s="2743"/>
      <c r="P65" s="2507"/>
      <c r="Q65" s="2743"/>
      <c r="R65" s="2507"/>
      <c r="S65" s="2743"/>
      <c r="T65" s="2507"/>
      <c r="U65" s="2743"/>
      <c r="V65" s="2507"/>
      <c r="W65" s="2743"/>
      <c r="X65" s="2507"/>
      <c r="Y65" s="2743"/>
      <c r="Z65" s="2507"/>
      <c r="AA65" s="2743"/>
      <c r="AB65" s="2635"/>
      <c r="AC65" s="255"/>
      <c r="AD65" s="315"/>
      <c r="AE65" s="2635"/>
      <c r="AF65" s="255"/>
      <c r="AG65" s="315"/>
      <c r="AH65" s="255"/>
      <c r="AI65" s="1849"/>
      <c r="AJ65" s="646"/>
      <c r="AK65" s="1846"/>
      <c r="AL65" s="1818"/>
      <c r="AM65" s="1828"/>
      <c r="AN65" s="1828"/>
    </row>
    <row r="66" spans="1:41" ht="15.75">
      <c r="A66" s="218"/>
      <c r="B66" s="216" t="s">
        <v>23</v>
      </c>
      <c r="C66" s="218"/>
      <c r="D66" s="218"/>
      <c r="E66" s="1544"/>
      <c r="F66" s="1544"/>
      <c r="G66" s="1544"/>
      <c r="H66" s="1544"/>
      <c r="I66" s="1544"/>
      <c r="J66" s="1544"/>
      <c r="K66" s="1544"/>
      <c r="L66" s="2507"/>
      <c r="M66" s="2743"/>
      <c r="N66" s="2507"/>
      <c r="O66" s="2743"/>
      <c r="P66" s="2507"/>
      <c r="Q66" s="2743"/>
      <c r="R66" s="2507"/>
      <c r="S66" s="2743"/>
      <c r="T66" s="2507"/>
      <c r="U66" s="2743"/>
      <c r="V66" s="2507"/>
      <c r="W66" s="2743"/>
      <c r="X66" s="2507"/>
      <c r="Y66" s="2743"/>
      <c r="Z66" s="2507"/>
      <c r="AA66" s="2743"/>
      <c r="AB66" s="2635"/>
      <c r="AC66" s="255"/>
      <c r="AD66" s="307"/>
      <c r="AE66" s="2635"/>
      <c r="AF66" s="255"/>
      <c r="AG66" s="307"/>
      <c r="AH66" s="307"/>
      <c r="AI66" s="1849"/>
      <c r="AJ66" s="646"/>
      <c r="AK66" s="1846"/>
      <c r="AL66" s="1818"/>
      <c r="AM66" s="1828"/>
      <c r="AN66" s="1828"/>
    </row>
    <row r="67" spans="1:41" ht="15.75">
      <c r="A67" s="218"/>
      <c r="B67" s="218" t="s">
        <v>153</v>
      </c>
      <c r="C67" s="218"/>
      <c r="D67" s="218"/>
      <c r="E67" s="1544"/>
      <c r="F67" s="1544"/>
      <c r="G67" s="1544"/>
      <c r="H67" s="1544"/>
      <c r="I67" s="1544"/>
      <c r="J67" s="1544"/>
      <c r="K67" s="1544"/>
      <c r="L67" s="2507"/>
      <c r="M67" s="2743"/>
      <c r="N67" s="2507"/>
      <c r="O67" s="2743"/>
      <c r="P67" s="2507"/>
      <c r="Q67" s="2743"/>
      <c r="R67" s="2507"/>
      <c r="S67" s="2743"/>
      <c r="T67" s="2507"/>
      <c r="U67" s="2743"/>
      <c r="V67" s="2507"/>
      <c r="W67" s="2743"/>
      <c r="X67" s="2507"/>
      <c r="Y67" s="2743"/>
      <c r="Z67" s="2507"/>
      <c r="AA67" s="2743"/>
      <c r="AB67" s="307"/>
      <c r="AC67" s="1145"/>
      <c r="AD67" s="307"/>
      <c r="AE67" s="1815"/>
      <c r="AF67" s="255"/>
      <c r="AG67" s="307"/>
      <c r="AH67" s="307"/>
      <c r="AI67" s="1849"/>
      <c r="AJ67" s="646"/>
      <c r="AK67" s="1846"/>
      <c r="AL67" s="1818"/>
      <c r="AM67" s="1828"/>
      <c r="AN67" s="1828"/>
    </row>
    <row r="68" spans="1:41" ht="15.75">
      <c r="A68" s="218"/>
      <c r="B68" s="218" t="s">
        <v>25</v>
      </c>
      <c r="C68" s="218"/>
      <c r="D68" s="218"/>
      <c r="E68" s="1544">
        <f>$AD68</f>
        <v>8</v>
      </c>
      <c r="F68" s="1544"/>
      <c r="G68" s="1544"/>
      <c r="H68" s="1544"/>
      <c r="I68" s="1544"/>
      <c r="J68" s="1544"/>
      <c r="K68" s="1544"/>
      <c r="L68" s="2507"/>
      <c r="M68" s="2743"/>
      <c r="N68" s="2507"/>
      <c r="O68" s="2743"/>
      <c r="P68" s="2507"/>
      <c r="Q68" s="2914"/>
      <c r="R68" s="2507"/>
      <c r="S68" s="2914"/>
      <c r="T68" s="2507"/>
      <c r="U68" s="2914"/>
      <c r="V68" s="2507"/>
      <c r="W68" s="2914"/>
      <c r="X68" s="2507"/>
      <c r="Y68" s="2914"/>
      <c r="Z68" s="2507"/>
      <c r="AA68" s="2914"/>
      <c r="AB68" s="307"/>
      <c r="AC68" s="1145"/>
      <c r="AD68" s="1544">
        <v>8</v>
      </c>
      <c r="AE68" s="1815"/>
      <c r="AF68" s="255"/>
      <c r="AG68" s="1544">
        <v>0</v>
      </c>
      <c r="AH68" s="308"/>
      <c r="AI68" s="1816"/>
      <c r="AJ68" s="307">
        <f t="shared" ref="AJ68:AJ77" si="4">ROUND(AD68-AG68,1)</f>
        <v>8</v>
      </c>
      <c r="AK68" s="1817"/>
      <c r="AL68" s="2744">
        <f>ROUND(IF(AG68=0,1,AJ68/ABS(AG68)),3)</f>
        <v>1</v>
      </c>
      <c r="AM68" s="1828"/>
      <c r="AN68" s="1828"/>
    </row>
    <row r="69" spans="1:41" ht="15.75">
      <c r="A69" s="218"/>
      <c r="B69" s="218" t="s">
        <v>26</v>
      </c>
      <c r="C69" s="218"/>
      <c r="D69" s="218"/>
      <c r="E69" s="1544">
        <f t="shared" ref="E69:E77" si="5">$AD69</f>
        <v>7.6000000000000005</v>
      </c>
      <c r="F69" s="1544"/>
      <c r="G69" s="1544"/>
      <c r="H69" s="1544"/>
      <c r="I69" s="1544"/>
      <c r="J69" s="1544"/>
      <c r="K69" s="1544"/>
      <c r="L69" s="2507"/>
      <c r="M69" s="2743"/>
      <c r="N69" s="2507"/>
      <c r="O69" s="2743"/>
      <c r="P69" s="2507"/>
      <c r="Q69" s="2914"/>
      <c r="R69" s="2507"/>
      <c r="S69" s="2914"/>
      <c r="T69" s="2507"/>
      <c r="U69" s="2914"/>
      <c r="V69" s="2507"/>
      <c r="W69" s="2914"/>
      <c r="X69" s="2507"/>
      <c r="Y69" s="2914"/>
      <c r="Z69" s="2507"/>
      <c r="AA69" s="2914"/>
      <c r="AB69" s="307"/>
      <c r="AC69" s="1145"/>
      <c r="AD69" s="1544">
        <v>7.6000000000000005</v>
      </c>
      <c r="AE69" s="1815"/>
      <c r="AF69" s="255"/>
      <c r="AG69" s="1544">
        <v>2.4</v>
      </c>
      <c r="AH69" s="308"/>
      <c r="AI69" s="1816"/>
      <c r="AJ69" s="307">
        <f t="shared" si="4"/>
        <v>5.2</v>
      </c>
      <c r="AK69" s="1817"/>
      <c r="AL69" s="2846">
        <f>ROUND(IF(AG69=0,0,AJ69/ABS(AG69)),3)</f>
        <v>2.1669999999999998</v>
      </c>
      <c r="AM69" s="1828"/>
      <c r="AN69" s="1828"/>
    </row>
    <row r="70" spans="1:41" ht="15.75">
      <c r="A70" s="218"/>
      <c r="B70" s="218" t="s">
        <v>27</v>
      </c>
      <c r="C70" s="218"/>
      <c r="D70" s="218"/>
      <c r="E70" s="1544">
        <f t="shared" si="5"/>
        <v>24.6</v>
      </c>
      <c r="F70" s="1544"/>
      <c r="G70" s="1544"/>
      <c r="H70" s="1544"/>
      <c r="I70" s="1544"/>
      <c r="J70" s="1544"/>
      <c r="K70" s="1544"/>
      <c r="L70" s="2507"/>
      <c r="M70" s="2743"/>
      <c r="N70" s="2507"/>
      <c r="O70" s="2743"/>
      <c r="P70" s="2507"/>
      <c r="Q70" s="2914"/>
      <c r="R70" s="2507"/>
      <c r="S70" s="2914"/>
      <c r="T70" s="2507"/>
      <c r="U70" s="2914"/>
      <c r="V70" s="2507"/>
      <c r="W70" s="2914"/>
      <c r="X70" s="2507"/>
      <c r="Y70" s="2914"/>
      <c r="Z70" s="2507"/>
      <c r="AA70" s="2914"/>
      <c r="AB70" s="307"/>
      <c r="AC70" s="1145"/>
      <c r="AD70" s="1544">
        <v>24.6</v>
      </c>
      <c r="AE70" s="1815"/>
      <c r="AF70" s="255"/>
      <c r="AG70" s="1544">
        <v>6.4</v>
      </c>
      <c r="AH70" s="308"/>
      <c r="AI70" s="1816"/>
      <c r="AJ70" s="307">
        <f t="shared" si="4"/>
        <v>18.2</v>
      </c>
      <c r="AK70" s="1817"/>
      <c r="AL70" s="2846">
        <f>ROUND(IF(AG70=0,0,AJ70/ABS(AG70)),3)</f>
        <v>2.8439999999999999</v>
      </c>
      <c r="AM70" s="1846"/>
      <c r="AN70" s="1828"/>
    </row>
    <row r="71" spans="1:41" ht="15.75">
      <c r="A71" s="218"/>
      <c r="B71" s="218" t="s">
        <v>28</v>
      </c>
      <c r="C71" s="218"/>
      <c r="D71" s="218"/>
      <c r="E71" s="1544" t="s">
        <v>15</v>
      </c>
      <c r="F71" s="1544"/>
      <c r="G71" s="1544"/>
      <c r="H71" s="1544"/>
      <c r="I71" s="1544"/>
      <c r="J71" s="1544"/>
      <c r="K71" s="1544"/>
      <c r="L71" s="2507"/>
      <c r="M71" s="2743"/>
      <c r="N71" s="2507"/>
      <c r="O71" s="2743"/>
      <c r="P71" s="2507"/>
      <c r="Q71" s="2914"/>
      <c r="R71" s="2507"/>
      <c r="S71" s="2914"/>
      <c r="T71" s="2507"/>
      <c r="U71" s="2914"/>
      <c r="V71" s="2507"/>
      <c r="W71" s="2914"/>
      <c r="X71" s="2507"/>
      <c r="Y71" s="2914"/>
      <c r="Z71" s="2507"/>
      <c r="AA71" s="2914"/>
      <c r="AB71" s="307"/>
      <c r="AC71" s="1145"/>
      <c r="AD71" s="1544"/>
      <c r="AE71" s="1815"/>
      <c r="AF71" s="255"/>
      <c r="AG71" s="1544"/>
      <c r="AH71" s="307"/>
      <c r="AI71" s="1849"/>
      <c r="AJ71" s="1544"/>
      <c r="AK71" s="1817"/>
      <c r="AL71" s="1818"/>
      <c r="AM71" s="1846"/>
      <c r="AN71" s="1828"/>
    </row>
    <row r="72" spans="1:41" ht="15.75">
      <c r="A72" s="218"/>
      <c r="B72" s="218" t="s">
        <v>29</v>
      </c>
      <c r="C72" s="216"/>
      <c r="D72" s="218"/>
      <c r="E72" s="1544">
        <f t="shared" si="5"/>
        <v>0</v>
      </c>
      <c r="F72" s="1544"/>
      <c r="G72" s="1544"/>
      <c r="H72" s="1544"/>
      <c r="I72" s="1544"/>
      <c r="J72" s="1544"/>
      <c r="K72" s="1544"/>
      <c r="L72" s="2507"/>
      <c r="M72" s="2743"/>
      <c r="N72" s="2507"/>
      <c r="O72" s="2743"/>
      <c r="P72" s="2507"/>
      <c r="Q72" s="2914"/>
      <c r="R72" s="2507"/>
      <c r="S72" s="2914"/>
      <c r="T72" s="2507"/>
      <c r="U72" s="2914"/>
      <c r="V72" s="2507"/>
      <c r="W72" s="2914"/>
      <c r="X72" s="2507"/>
      <c r="Y72" s="2914"/>
      <c r="Z72" s="2507"/>
      <c r="AA72" s="2914"/>
      <c r="AB72" s="307"/>
      <c r="AC72" s="1145"/>
      <c r="AD72" s="1544">
        <v>0</v>
      </c>
      <c r="AE72" s="1815"/>
      <c r="AF72" s="255"/>
      <c r="AG72" s="1544">
        <v>0</v>
      </c>
      <c r="AH72" s="307"/>
      <c r="AI72" s="1849"/>
      <c r="AJ72" s="307">
        <f t="shared" si="4"/>
        <v>0</v>
      </c>
      <c r="AK72" s="1846"/>
      <c r="AL72" s="2846">
        <f>ROUND(IF(AG72=0,0,AJ72/ABS(AG72)),3)</f>
        <v>0</v>
      </c>
      <c r="AM72" s="1846"/>
      <c r="AN72" s="1828"/>
    </row>
    <row r="73" spans="1:41" ht="15.75">
      <c r="A73" s="218"/>
      <c r="B73" s="218" t="s">
        <v>30</v>
      </c>
      <c r="C73" s="218"/>
      <c r="D73" s="218"/>
      <c r="E73" s="1544">
        <f t="shared" si="5"/>
        <v>19.5</v>
      </c>
      <c r="F73" s="1544"/>
      <c r="G73" s="1544"/>
      <c r="H73" s="1544"/>
      <c r="I73" s="1544"/>
      <c r="J73" s="1544"/>
      <c r="K73" s="1544"/>
      <c r="L73" s="2507"/>
      <c r="M73" s="2743"/>
      <c r="N73" s="2507"/>
      <c r="O73" s="2743"/>
      <c r="P73" s="2507"/>
      <c r="Q73" s="2914"/>
      <c r="R73" s="2507"/>
      <c r="S73" s="2914"/>
      <c r="T73" s="2507"/>
      <c r="U73" s="2914"/>
      <c r="V73" s="2507"/>
      <c r="W73" s="2914"/>
      <c r="X73" s="2507"/>
      <c r="Y73" s="2914"/>
      <c r="Z73" s="2507"/>
      <c r="AA73" s="2914"/>
      <c r="AB73" s="307"/>
      <c r="AC73" s="1145"/>
      <c r="AD73" s="1544">
        <v>19.5</v>
      </c>
      <c r="AE73" s="1815"/>
      <c r="AF73" s="255"/>
      <c r="AG73" s="1544">
        <v>5.6</v>
      </c>
      <c r="AH73" s="308"/>
      <c r="AI73" s="1816"/>
      <c r="AJ73" s="307">
        <f t="shared" si="4"/>
        <v>13.9</v>
      </c>
      <c r="AK73" s="1817"/>
      <c r="AL73" s="2846">
        <f>ROUND(IF(AG73=0,0,AJ73/ABS(AG73)),3)</f>
        <v>2.4820000000000002</v>
      </c>
      <c r="AM73" s="1828"/>
      <c r="AN73" s="1828"/>
    </row>
    <row r="74" spans="1:41" ht="15.75">
      <c r="A74" s="218"/>
      <c r="B74" s="218" t="s">
        <v>31</v>
      </c>
      <c r="C74" s="218"/>
      <c r="D74" s="218"/>
      <c r="E74" s="1544">
        <f t="shared" si="5"/>
        <v>0.6</v>
      </c>
      <c r="F74" s="1544"/>
      <c r="G74" s="1544"/>
      <c r="H74" s="1544"/>
      <c r="I74" s="1544"/>
      <c r="J74" s="1544"/>
      <c r="K74" s="1544"/>
      <c r="L74" s="2507"/>
      <c r="M74" s="2743"/>
      <c r="N74" s="2507"/>
      <c r="O74" s="2743"/>
      <c r="P74" s="2507"/>
      <c r="Q74" s="2914"/>
      <c r="R74" s="2507"/>
      <c r="S74" s="2914"/>
      <c r="T74" s="2507"/>
      <c r="U74" s="2914"/>
      <c r="V74" s="2507"/>
      <c r="W74" s="2914"/>
      <c r="X74" s="2507"/>
      <c r="Y74" s="2914"/>
      <c r="Z74" s="2507"/>
      <c r="AA74" s="2914"/>
      <c r="AB74" s="307"/>
      <c r="AC74" s="1145"/>
      <c r="AD74" s="1544">
        <v>0.6</v>
      </c>
      <c r="AE74" s="1815"/>
      <c r="AF74" s="255"/>
      <c r="AG74" s="1544">
        <v>0</v>
      </c>
      <c r="AH74" s="308"/>
      <c r="AI74" s="1816"/>
      <c r="AJ74" s="307">
        <f t="shared" si="4"/>
        <v>0.6</v>
      </c>
      <c r="AK74" s="1817"/>
      <c r="AL74" s="2843">
        <f>ROUND(IF(AG74=0,1,AJ74/ABS(AG74)),3)</f>
        <v>1</v>
      </c>
      <c r="AM74" s="1846"/>
      <c r="AN74" s="1828"/>
    </row>
    <row r="75" spans="1:41" ht="15.75">
      <c r="A75" s="218"/>
      <c r="B75" s="218" t="s">
        <v>32</v>
      </c>
      <c r="C75" s="218"/>
      <c r="D75" s="218"/>
      <c r="E75" s="1544">
        <f t="shared" si="5"/>
        <v>112.6</v>
      </c>
      <c r="F75" s="1544"/>
      <c r="G75" s="1544"/>
      <c r="H75" s="1544"/>
      <c r="I75" s="1544"/>
      <c r="J75" s="1544"/>
      <c r="K75" s="1544"/>
      <c r="L75" s="2507"/>
      <c r="M75" s="2743"/>
      <c r="N75" s="2507"/>
      <c r="O75" s="2743"/>
      <c r="P75" s="2507"/>
      <c r="Q75" s="2914"/>
      <c r="R75" s="2507"/>
      <c r="S75" s="2914"/>
      <c r="T75" s="2507"/>
      <c r="U75" s="2914"/>
      <c r="V75" s="2507"/>
      <c r="W75" s="2914"/>
      <c r="X75" s="2507"/>
      <c r="Y75" s="2914"/>
      <c r="Z75" s="2507"/>
      <c r="AA75" s="2914"/>
      <c r="AB75" s="307"/>
      <c r="AC75" s="1145"/>
      <c r="AD75" s="1544">
        <v>112.6</v>
      </c>
      <c r="AE75" s="1815"/>
      <c r="AF75" s="255"/>
      <c r="AG75" s="1544">
        <v>48.1</v>
      </c>
      <c r="AH75" s="307"/>
      <c r="AI75" s="1849"/>
      <c r="AJ75" s="307">
        <f t="shared" si="4"/>
        <v>64.5</v>
      </c>
      <c r="AK75" s="1817"/>
      <c r="AL75" s="2843">
        <f>ROUND(IF(AG75=0,1,AJ75/ABS(AG75)),3)</f>
        <v>1.341</v>
      </c>
      <c r="AM75" s="1846"/>
      <c r="AN75" s="1828"/>
    </row>
    <row r="76" spans="1:41" ht="15.75">
      <c r="A76" s="218"/>
      <c r="B76" s="218" t="s">
        <v>33</v>
      </c>
      <c r="C76" s="216"/>
      <c r="D76" s="218"/>
      <c r="E76" s="1544">
        <f t="shared" si="5"/>
        <v>109.2</v>
      </c>
      <c r="F76" s="1544"/>
      <c r="G76" s="1544"/>
      <c r="H76" s="1544"/>
      <c r="I76" s="1544"/>
      <c r="J76" s="1544"/>
      <c r="K76" s="1544"/>
      <c r="L76" s="2507"/>
      <c r="M76" s="2743"/>
      <c r="N76" s="2507"/>
      <c r="O76" s="2743"/>
      <c r="P76" s="2507"/>
      <c r="Q76" s="2914"/>
      <c r="R76" s="2507"/>
      <c r="S76" s="2914"/>
      <c r="T76" s="2507"/>
      <c r="U76" s="2914"/>
      <c r="V76" s="2507"/>
      <c r="W76" s="2914"/>
      <c r="X76" s="2507"/>
      <c r="Y76" s="2914"/>
      <c r="Z76" s="2507"/>
      <c r="AA76" s="2914"/>
      <c r="AB76" s="307"/>
      <c r="AC76" s="1145"/>
      <c r="AD76" s="1544">
        <v>109.2</v>
      </c>
      <c r="AE76" s="1815"/>
      <c r="AF76" s="255"/>
      <c r="AG76" s="1544">
        <v>155.69999999999999</v>
      </c>
      <c r="AH76" s="307"/>
      <c r="AI76" s="1849"/>
      <c r="AJ76" s="307">
        <f t="shared" si="4"/>
        <v>-46.5</v>
      </c>
      <c r="AK76" s="1846"/>
      <c r="AL76" s="2921">
        <f>ROUND(IF(AG76=0,0,AJ76/ABS(AG76)),3)</f>
        <v>-0.29899999999999999</v>
      </c>
      <c r="AM76" s="1846"/>
      <c r="AN76" s="1828"/>
    </row>
    <row r="77" spans="1:41" ht="15.75">
      <c r="A77" s="218"/>
      <c r="B77" s="218" t="s">
        <v>34</v>
      </c>
      <c r="C77" s="218"/>
      <c r="D77" s="218"/>
      <c r="E77" s="1544">
        <f t="shared" si="5"/>
        <v>2.9</v>
      </c>
      <c r="F77" s="1544"/>
      <c r="G77" s="1544"/>
      <c r="H77" s="1544"/>
      <c r="I77" s="1544"/>
      <c r="J77" s="1544"/>
      <c r="K77" s="2515"/>
      <c r="L77" s="2507"/>
      <c r="M77" s="2743"/>
      <c r="N77" s="2507"/>
      <c r="O77" s="2743"/>
      <c r="P77" s="2507"/>
      <c r="Q77" s="2914"/>
      <c r="R77" s="2507"/>
      <c r="S77" s="2914"/>
      <c r="T77" s="2507"/>
      <c r="U77" s="2914"/>
      <c r="V77" s="2507"/>
      <c r="W77" s="2914"/>
      <c r="X77" s="2507"/>
      <c r="Y77" s="2914"/>
      <c r="Z77" s="2507"/>
      <c r="AA77" s="2914"/>
      <c r="AB77" s="307"/>
      <c r="AC77" s="1145"/>
      <c r="AD77" s="1544">
        <v>2.9</v>
      </c>
      <c r="AE77" s="1815"/>
      <c r="AF77" s="255"/>
      <c r="AG77" s="1544">
        <v>3.3</v>
      </c>
      <c r="AH77" s="255"/>
      <c r="AI77" s="1849"/>
      <c r="AJ77" s="307">
        <f t="shared" si="4"/>
        <v>-0.4</v>
      </c>
      <c r="AK77" s="1817"/>
      <c r="AL77" s="2846">
        <f>ROUND(IF(AG77=0,0,AJ77/ABS(AG77)),3)</f>
        <v>-0.121</v>
      </c>
      <c r="AM77" s="1846"/>
      <c r="AN77" s="1828"/>
    </row>
    <row r="78" spans="1:41" ht="15.75">
      <c r="A78" s="218"/>
      <c r="B78" s="216" t="s">
        <v>200</v>
      </c>
      <c r="C78" s="218"/>
      <c r="D78" s="218"/>
      <c r="E78" s="1835">
        <f>ROUND(SUM(E68:E77),1)</f>
        <v>285</v>
      </c>
      <c r="F78" s="301"/>
      <c r="G78" s="1835">
        <f>ROUND(SUM(G68:G77),1)</f>
        <v>0</v>
      </c>
      <c r="H78" s="301"/>
      <c r="I78" s="1835">
        <f>ROUND(SUM(I68:I77),1)</f>
        <v>0</v>
      </c>
      <c r="J78" s="304"/>
      <c r="K78" s="1835">
        <f>ROUND(SUM(K68:K77),1)</f>
        <v>0</v>
      </c>
      <c r="L78" s="250"/>
      <c r="M78" s="517">
        <f>ROUND(SUM(M68:M77),1)</f>
        <v>0</v>
      </c>
      <c r="N78" s="264"/>
      <c r="O78" s="517">
        <f>ROUND(SUM(O68:O77),1)</f>
        <v>0</v>
      </c>
      <c r="P78" s="250"/>
      <c r="Q78" s="517">
        <f>ROUND(SUM(Q68:Q77),1)</f>
        <v>0</v>
      </c>
      <c r="R78" s="250"/>
      <c r="S78" s="517">
        <f>ROUND(SUM(S68:S77),1)</f>
        <v>0</v>
      </c>
      <c r="T78" s="250"/>
      <c r="U78" s="1835">
        <f>ROUND(SUM(U68:U77),1)</f>
        <v>0</v>
      </c>
      <c r="V78" s="301"/>
      <c r="W78" s="1835">
        <f>ROUND(SUM(W68:W77),1)</f>
        <v>0</v>
      </c>
      <c r="X78" s="301"/>
      <c r="Y78" s="1835">
        <f>ROUND(SUM(Y68:Y77),1)</f>
        <v>0</v>
      </c>
      <c r="Z78" s="301"/>
      <c r="AA78" s="1835">
        <f>ROUND(SUM(AA68:AA77),1)</f>
        <v>0</v>
      </c>
      <c r="AB78" s="301"/>
      <c r="AC78" s="1146"/>
      <c r="AD78" s="1835">
        <f>ROUND(SUM(AD68:AD77),1)</f>
        <v>285</v>
      </c>
      <c r="AE78" s="1820"/>
      <c r="AF78" s="304"/>
      <c r="AG78" s="1835">
        <f>ROUND(SUM(AG68:AG77),1)</f>
        <v>221.5</v>
      </c>
      <c r="AH78" s="304"/>
      <c r="AI78" s="1849"/>
      <c r="AJ78" s="1835">
        <f>ROUND(SUM(AJ68:AJ77),1)</f>
        <v>63.5</v>
      </c>
      <c r="AK78" s="3618"/>
      <c r="AL78" s="3619">
        <f>ROUND(IF(AG78=0,0,AJ78/ABS(AG78)),3)</f>
        <v>0.28699999999999998</v>
      </c>
      <c r="AM78" s="1828"/>
      <c r="AN78" s="1828"/>
      <c r="AO78" s="357"/>
    </row>
    <row r="79" spans="1:41" ht="15.75">
      <c r="A79" s="218"/>
      <c r="B79" s="218" t="s">
        <v>201</v>
      </c>
      <c r="C79" s="218"/>
      <c r="D79" s="218"/>
      <c r="E79" s="1544"/>
      <c r="F79" s="1544"/>
      <c r="G79" s="1544"/>
      <c r="H79" s="1544"/>
      <c r="I79" s="1544"/>
      <c r="J79" s="1544"/>
      <c r="K79" s="1544"/>
      <c r="L79" s="254"/>
      <c r="M79" s="254"/>
      <c r="N79" s="254"/>
      <c r="O79" s="254"/>
      <c r="P79" s="254"/>
      <c r="Q79" s="254"/>
      <c r="R79" s="254"/>
      <c r="S79" s="254"/>
      <c r="T79" s="254"/>
      <c r="U79" s="307"/>
      <c r="V79" s="307"/>
      <c r="W79" s="307"/>
      <c r="X79" s="307"/>
      <c r="Y79" s="307"/>
      <c r="Z79" s="307"/>
      <c r="AA79" s="307"/>
      <c r="AB79" s="307"/>
      <c r="AC79" s="1145"/>
      <c r="AD79" s="307"/>
      <c r="AE79" s="1815"/>
      <c r="AF79" s="255"/>
      <c r="AG79" s="307"/>
      <c r="AH79" s="307"/>
      <c r="AI79" s="1849"/>
      <c r="AJ79" s="646"/>
      <c r="AK79" s="1846"/>
      <c r="AL79" s="1818"/>
      <c r="AM79" s="1828"/>
      <c r="AN79" s="1828"/>
    </row>
    <row r="80" spans="1:41" ht="15.75">
      <c r="A80" s="218"/>
      <c r="B80" s="218" t="s">
        <v>202</v>
      </c>
      <c r="C80" s="218"/>
      <c r="D80" s="218"/>
      <c r="E80" s="1544">
        <f>$AD80</f>
        <v>0</v>
      </c>
      <c r="F80" s="1544"/>
      <c r="G80" s="1544"/>
      <c r="H80" s="1544"/>
      <c r="I80" s="1544"/>
      <c r="J80" s="1544"/>
      <c r="K80" s="1544"/>
      <c r="L80" s="2507"/>
      <c r="M80" s="2743"/>
      <c r="N80" s="2507"/>
      <c r="O80" s="2743"/>
      <c r="P80" s="2507"/>
      <c r="Q80" s="2914"/>
      <c r="R80" s="2507"/>
      <c r="S80" s="2914"/>
      <c r="T80" s="2507"/>
      <c r="U80" s="2914"/>
      <c r="V80" s="2507"/>
      <c r="W80" s="2914"/>
      <c r="X80" s="2507"/>
      <c r="Y80" s="2914"/>
      <c r="Z80" s="2507"/>
      <c r="AA80" s="2914"/>
      <c r="AB80" s="307"/>
      <c r="AC80" s="1145"/>
      <c r="AD80" s="1544">
        <v>0</v>
      </c>
      <c r="AE80" s="1815"/>
      <c r="AF80" s="255"/>
      <c r="AG80" s="1544">
        <v>0</v>
      </c>
      <c r="AH80" s="316"/>
      <c r="AI80" s="1857"/>
      <c r="AJ80" s="307">
        <f>ROUND(AD80-AG80,1)</f>
        <v>0</v>
      </c>
      <c r="AK80" s="1846"/>
      <c r="AL80" s="2846">
        <f>ROUND(IF(AG80=0,0,AJ80/ABS(AG80)),3)</f>
        <v>0</v>
      </c>
      <c r="AM80" s="1828"/>
      <c r="AN80" s="1828"/>
    </row>
    <row r="81" spans="1:41" ht="15.75">
      <c r="A81" s="218"/>
      <c r="B81" s="218" t="s">
        <v>203</v>
      </c>
      <c r="C81" s="218"/>
      <c r="D81" s="218"/>
      <c r="E81" s="1544">
        <f t="shared" ref="E81:E83" si="6">$AD81</f>
        <v>0</v>
      </c>
      <c r="F81" s="1544"/>
      <c r="G81" s="1544"/>
      <c r="H81" s="1544"/>
      <c r="I81" s="1544"/>
      <c r="J81" s="1544"/>
      <c r="K81" s="1544"/>
      <c r="L81" s="2507"/>
      <c r="M81" s="2743"/>
      <c r="N81" s="2507"/>
      <c r="O81" s="2743"/>
      <c r="P81" s="2507"/>
      <c r="Q81" s="2914"/>
      <c r="R81" s="2507"/>
      <c r="S81" s="2914"/>
      <c r="T81" s="2507"/>
      <c r="U81" s="2914"/>
      <c r="V81" s="2507"/>
      <c r="W81" s="2914"/>
      <c r="X81" s="2507"/>
      <c r="Y81" s="2914"/>
      <c r="Z81" s="2507"/>
      <c r="AA81" s="2914"/>
      <c r="AB81" s="307"/>
      <c r="AC81" s="1145"/>
      <c r="AD81" s="1544">
        <v>0</v>
      </c>
      <c r="AE81" s="1815"/>
      <c r="AF81" s="255"/>
      <c r="AG81" s="1544">
        <v>0</v>
      </c>
      <c r="AH81" s="316"/>
      <c r="AI81" s="1857"/>
      <c r="AJ81" s="307">
        <f>ROUND(AD81-AG81,1)</f>
        <v>0</v>
      </c>
      <c r="AK81" s="1846"/>
      <c r="AL81" s="2846">
        <f>ROUND(IF(AG81=0,0,AJ81/ABS(AG81)),3)</f>
        <v>0</v>
      </c>
      <c r="AM81" s="1828"/>
      <c r="AN81" s="1828"/>
    </row>
    <row r="82" spans="1:41" ht="15.75">
      <c r="A82" s="218"/>
      <c r="B82" s="218" t="s">
        <v>204</v>
      </c>
      <c r="C82" s="218"/>
      <c r="D82" s="218"/>
      <c r="E82" s="1544">
        <f t="shared" si="6"/>
        <v>0</v>
      </c>
      <c r="F82" s="1544"/>
      <c r="G82" s="1544"/>
      <c r="H82" s="1544"/>
      <c r="I82" s="1544"/>
      <c r="J82" s="1544"/>
      <c r="K82" s="1544"/>
      <c r="L82" s="2507"/>
      <c r="M82" s="2743"/>
      <c r="N82" s="2507"/>
      <c r="O82" s="2743"/>
      <c r="P82" s="2507"/>
      <c r="Q82" s="2914"/>
      <c r="R82" s="2507"/>
      <c r="S82" s="2914"/>
      <c r="T82" s="2507"/>
      <c r="U82" s="2914"/>
      <c r="V82" s="2507"/>
      <c r="W82" s="2914"/>
      <c r="X82" s="2507"/>
      <c r="Y82" s="2914"/>
      <c r="Z82" s="2507"/>
      <c r="AA82" s="2914"/>
      <c r="AB82" s="1858"/>
      <c r="AC82" s="1859"/>
      <c r="AD82" s="1544">
        <v>0</v>
      </c>
      <c r="AE82" s="1815"/>
      <c r="AF82" s="255"/>
      <c r="AG82" s="1544">
        <v>0</v>
      </c>
      <c r="AH82" s="316"/>
      <c r="AI82" s="1857"/>
      <c r="AJ82" s="307">
        <f>ROUND(AD82-AG82,1)</f>
        <v>0</v>
      </c>
      <c r="AK82" s="607"/>
      <c r="AL82" s="45">
        <f>ROUND(IF(AG82=0,0,AJ82/ABS(AG82)),3)</f>
        <v>0</v>
      </c>
    </row>
    <row r="83" spans="1:41" ht="15.75">
      <c r="A83" s="218"/>
      <c r="B83" s="241" t="s">
        <v>175</v>
      </c>
      <c r="C83" s="218"/>
      <c r="D83" s="218"/>
      <c r="E83" s="1544">
        <f t="shared" si="6"/>
        <v>304.89999999999998</v>
      </c>
      <c r="F83" s="1544"/>
      <c r="G83" s="1544"/>
      <c r="H83" s="1544"/>
      <c r="I83" s="1544"/>
      <c r="J83" s="1544"/>
      <c r="K83" s="1544"/>
      <c r="L83" s="2507"/>
      <c r="M83" s="2743"/>
      <c r="N83" s="2507"/>
      <c r="O83" s="2743"/>
      <c r="P83" s="2507"/>
      <c r="Q83" s="2914"/>
      <c r="R83" s="2507"/>
      <c r="S83" s="2914"/>
      <c r="T83" s="2507"/>
      <c r="U83" s="2914"/>
      <c r="V83" s="2507"/>
      <c r="W83" s="2914"/>
      <c r="X83" s="2507"/>
      <c r="Y83" s="2914"/>
      <c r="Z83" s="2507"/>
      <c r="AA83" s="2914"/>
      <c r="AB83" s="307"/>
      <c r="AC83" s="1145"/>
      <c r="AD83" s="2936">
        <v>304.89999999999998</v>
      </c>
      <c r="AE83" s="1815"/>
      <c r="AF83" s="255"/>
      <c r="AG83" s="2936">
        <v>267.89999999999998</v>
      </c>
      <c r="AH83" s="258"/>
      <c r="AI83" s="1816"/>
      <c r="AJ83" s="3449">
        <f>ROUND(AD83-AG83,1)</f>
        <v>37</v>
      </c>
      <c r="AK83" s="607"/>
      <c r="AL83" s="1554">
        <f>ROUND(IF(AG83=0,0,AJ83/ABS(AG83)),3)</f>
        <v>0.13800000000000001</v>
      </c>
    </row>
    <row r="84" spans="1:41" ht="15.75">
      <c r="A84" s="218"/>
      <c r="B84" s="218"/>
      <c r="C84" s="218"/>
      <c r="D84" s="218"/>
      <c r="E84" s="1758"/>
      <c r="F84" s="1544"/>
      <c r="G84" s="1758"/>
      <c r="H84" s="1544"/>
      <c r="I84" s="1758"/>
      <c r="J84" s="1544"/>
      <c r="K84" s="1758"/>
      <c r="L84" s="254"/>
      <c r="M84" s="277"/>
      <c r="N84" s="254"/>
      <c r="O84" s="277"/>
      <c r="P84" s="254"/>
      <c r="Q84" s="277"/>
      <c r="R84" s="254"/>
      <c r="S84" s="277"/>
      <c r="T84" s="254"/>
      <c r="U84" s="277"/>
      <c r="V84" s="254"/>
      <c r="W84" s="277"/>
      <c r="X84" s="254"/>
      <c r="Y84" s="277"/>
      <c r="Z84" s="254"/>
      <c r="AA84" s="277"/>
      <c r="AB84" s="307"/>
      <c r="AC84" s="1145"/>
      <c r="AD84" s="646"/>
      <c r="AE84" s="1815"/>
      <c r="AF84" s="255"/>
      <c r="AG84" s="646"/>
      <c r="AH84" s="646"/>
      <c r="AI84" s="1860"/>
      <c r="AJ84" s="646"/>
      <c r="AK84" s="607"/>
      <c r="AL84" s="614"/>
    </row>
    <row r="85" spans="1:41" ht="15.75">
      <c r="A85" s="218"/>
      <c r="B85" s="216" t="s">
        <v>205</v>
      </c>
      <c r="C85" s="218"/>
      <c r="D85" s="218"/>
      <c r="E85" s="301">
        <f>ROUND(SUM(E78:E83),1)</f>
        <v>589.9</v>
      </c>
      <c r="F85" s="301"/>
      <c r="G85" s="301">
        <f>ROUND(SUM(G78:G83),1)</f>
        <v>0</v>
      </c>
      <c r="H85" s="301"/>
      <c r="I85" s="301">
        <f>ROUND(SUM(I78:I83),1)</f>
        <v>0</v>
      </c>
      <c r="J85" s="301"/>
      <c r="K85" s="301">
        <f>ROUND(SUM(K78:K83),1)</f>
        <v>0</v>
      </c>
      <c r="L85" s="250"/>
      <c r="M85" s="250">
        <f>ROUND(SUM(M78:M83),1)</f>
        <v>0</v>
      </c>
      <c r="N85" s="250"/>
      <c r="O85" s="1587">
        <f>ROUND(SUM(O78:O83),1)</f>
        <v>0</v>
      </c>
      <c r="P85" s="250"/>
      <c r="Q85" s="1587">
        <f>ROUND(SUM(Q78:Q83),1)</f>
        <v>0</v>
      </c>
      <c r="R85" s="250"/>
      <c r="S85" s="250">
        <f>ROUND(SUM(S78:S83),1)</f>
        <v>0</v>
      </c>
      <c r="T85" s="250"/>
      <c r="U85" s="1587">
        <f>ROUND(SUM(U78:U83),1)</f>
        <v>0</v>
      </c>
      <c r="V85" s="250"/>
      <c r="W85" s="250">
        <f>ROUND(SUM(W78:W83),1)</f>
        <v>0</v>
      </c>
      <c r="X85" s="250"/>
      <c r="Y85" s="250">
        <f>ROUND(SUM(Y78:Y83),1)</f>
        <v>0</v>
      </c>
      <c r="Z85" s="250"/>
      <c r="AA85" s="250">
        <f>ROUND(SUM(AA78:AA83),1)</f>
        <v>0</v>
      </c>
      <c r="AB85" s="301"/>
      <c r="AC85" s="1146"/>
      <c r="AD85" s="301">
        <f>ROUND(SUM(AD78:AD83),1)</f>
        <v>589.9</v>
      </c>
      <c r="AE85" s="1820"/>
      <c r="AF85" s="304"/>
      <c r="AG85" s="301">
        <f>ROUND(SUM(AG78:AG83),1)</f>
        <v>489.4</v>
      </c>
      <c r="AH85" s="304"/>
      <c r="AI85" s="1849"/>
      <c r="AJ85" s="302">
        <f>ROUND(AD85-AG85,1)</f>
        <v>100.5</v>
      </c>
      <c r="AK85" s="624"/>
      <c r="AL85" s="1658">
        <f>ROUND(IF(AG85=0,0,AJ85/ABS(AG85)),3)</f>
        <v>0.20499999999999999</v>
      </c>
      <c r="AM85" s="612"/>
      <c r="AN85" s="612"/>
      <c r="AO85" s="612"/>
    </row>
    <row r="86" spans="1:41" ht="15.75">
      <c r="A86" s="218"/>
      <c r="B86" s="218"/>
      <c r="C86" s="218"/>
      <c r="D86" s="218"/>
      <c r="E86" s="1758"/>
      <c r="F86" s="1544"/>
      <c r="G86" s="1758"/>
      <c r="H86" s="1544"/>
      <c r="I86" s="1758"/>
      <c r="J86" s="1544"/>
      <c r="K86" s="1758"/>
      <c r="L86" s="254"/>
      <c r="M86" s="277"/>
      <c r="N86" s="254"/>
      <c r="O86" s="277"/>
      <c r="P86" s="254"/>
      <c r="Q86" s="277"/>
      <c r="R86" s="254"/>
      <c r="S86" s="277"/>
      <c r="T86" s="254"/>
      <c r="U86" s="277"/>
      <c r="V86" s="254"/>
      <c r="W86" s="277"/>
      <c r="X86" s="254"/>
      <c r="Y86" s="277"/>
      <c r="Z86" s="254"/>
      <c r="AA86" s="277"/>
      <c r="AB86" s="307"/>
      <c r="AC86" s="1145"/>
      <c r="AD86" s="315"/>
      <c r="AE86" s="1815"/>
      <c r="AF86" s="255"/>
      <c r="AG86" s="315"/>
      <c r="AH86" s="255"/>
      <c r="AI86" s="1849"/>
      <c r="AJ86" s="646"/>
      <c r="AK86" s="607"/>
      <c r="AL86" s="614"/>
    </row>
    <row r="87" spans="1:41" ht="15.75">
      <c r="A87" s="218"/>
      <c r="B87" s="216" t="s">
        <v>206</v>
      </c>
      <c r="C87" s="218"/>
      <c r="D87" s="218"/>
      <c r="E87" s="1544"/>
      <c r="F87" s="1544"/>
      <c r="G87" s="1544"/>
      <c r="H87" s="1544"/>
      <c r="I87" s="1544"/>
      <c r="J87" s="1544"/>
      <c r="K87" s="1544"/>
      <c r="L87" s="254"/>
      <c r="M87" s="254"/>
      <c r="N87" s="254"/>
      <c r="O87" s="254"/>
      <c r="P87" s="254"/>
      <c r="Q87" s="254"/>
      <c r="R87" s="254"/>
      <c r="S87" s="254"/>
      <c r="T87" s="254"/>
      <c r="U87" s="254"/>
      <c r="V87" s="254"/>
      <c r="W87" s="254"/>
      <c r="X87" s="254"/>
      <c r="Y87" s="254"/>
      <c r="Z87" s="254"/>
      <c r="AA87" s="254"/>
      <c r="AB87" s="307"/>
      <c r="AC87" s="1145"/>
      <c r="AD87" s="646"/>
      <c r="AE87" s="1815"/>
      <c r="AF87" s="255"/>
      <c r="AG87" s="646"/>
      <c r="AH87" s="646"/>
      <c r="AI87" s="1860"/>
      <c r="AJ87" s="646"/>
      <c r="AK87" s="607"/>
      <c r="AL87" s="614"/>
    </row>
    <row r="88" spans="1:41" ht="15.75">
      <c r="A88" s="218"/>
      <c r="B88" s="216" t="s">
        <v>207</v>
      </c>
      <c r="C88" s="218"/>
      <c r="D88" s="218"/>
      <c r="E88" s="301">
        <f>ROUND(SUM(E64-E85),1)</f>
        <v>-71</v>
      </c>
      <c r="F88" s="301"/>
      <c r="G88" s="301">
        <f>ROUND(SUM(G64-G85),1)</f>
        <v>0</v>
      </c>
      <c r="H88" s="301"/>
      <c r="I88" s="301">
        <f>ROUND(SUM(I64-I85),1)</f>
        <v>0</v>
      </c>
      <c r="J88" s="301"/>
      <c r="K88" s="301">
        <f>ROUND(SUM(K64-K85),1)</f>
        <v>0</v>
      </c>
      <c r="L88" s="250"/>
      <c r="M88" s="250">
        <f>ROUND(SUM(M64-M85),1)</f>
        <v>0</v>
      </c>
      <c r="N88" s="250"/>
      <c r="O88" s="1587">
        <f>ROUND(SUM(O64-O85),1)</f>
        <v>0</v>
      </c>
      <c r="P88" s="250"/>
      <c r="Q88" s="1587">
        <f>ROUND(SUM(Q64-Q85),1)</f>
        <v>0</v>
      </c>
      <c r="R88" s="250"/>
      <c r="S88" s="250">
        <f>ROUND(SUM(S64-S85),1)</f>
        <v>0</v>
      </c>
      <c r="T88" s="250"/>
      <c r="U88" s="1587">
        <f>ROUND(SUM(U64-U85),1)</f>
        <v>0</v>
      </c>
      <c r="V88" s="250"/>
      <c r="W88" s="250">
        <f>ROUND(SUM(W64-W85),1)</f>
        <v>0</v>
      </c>
      <c r="X88" s="250"/>
      <c r="Y88" s="250">
        <f>ROUND(SUM(Y64-Y85),1)</f>
        <v>0</v>
      </c>
      <c r="Z88" s="250"/>
      <c r="AA88" s="250">
        <f>ROUND(SUM(AA64-AA85),1)</f>
        <v>0</v>
      </c>
      <c r="AB88" s="301"/>
      <c r="AC88" s="1146"/>
      <c r="AD88" s="301">
        <f>ROUND(SUM(AD64-AD85),1)</f>
        <v>-71</v>
      </c>
      <c r="AE88" s="1820"/>
      <c r="AF88" s="304"/>
      <c r="AG88" s="301">
        <f>ROUND(SUM(AG64-AG85),1)</f>
        <v>-298.39999999999998</v>
      </c>
      <c r="AH88" s="304"/>
      <c r="AI88" s="1849"/>
      <c r="AJ88" s="302">
        <f>ROUND(AD88-AG88,1)</f>
        <v>227.4</v>
      </c>
      <c r="AK88" s="624"/>
      <c r="AL88" s="2353">
        <f>ROUND(IF(AG88=0,0,AJ88/ABS(AG88)),3)</f>
        <v>0.76200000000000001</v>
      </c>
      <c r="AM88" s="612"/>
      <c r="AN88" s="621"/>
    </row>
    <row r="89" spans="1:41" ht="15.75">
      <c r="A89" s="218"/>
      <c r="B89" s="218"/>
      <c r="C89" s="218"/>
      <c r="D89" s="218"/>
      <c r="E89" s="1758"/>
      <c r="F89" s="1544"/>
      <c r="G89" s="1758"/>
      <c r="H89" s="1544"/>
      <c r="I89" s="1758"/>
      <c r="J89" s="1544"/>
      <c r="K89" s="1758"/>
      <c r="L89" s="254"/>
      <c r="M89" s="277"/>
      <c r="N89" s="254"/>
      <c r="O89" s="277"/>
      <c r="P89" s="254"/>
      <c r="Q89" s="277"/>
      <c r="R89" s="254"/>
      <c r="S89" s="277"/>
      <c r="T89" s="254"/>
      <c r="U89" s="277"/>
      <c r="V89" s="254"/>
      <c r="W89" s="277"/>
      <c r="X89" s="254"/>
      <c r="Y89" s="277"/>
      <c r="Z89" s="254"/>
      <c r="AA89" s="277"/>
      <c r="AB89" s="307"/>
      <c r="AC89" s="1145"/>
      <c r="AD89" s="315"/>
      <c r="AE89" s="1815"/>
      <c r="AF89" s="255"/>
      <c r="AG89" s="315"/>
      <c r="AH89" s="255"/>
      <c r="AI89" s="1849"/>
      <c r="AJ89" s="646"/>
      <c r="AK89" s="607"/>
      <c r="AL89" s="614"/>
    </row>
    <row r="90" spans="1:41" ht="15.75">
      <c r="A90" s="218"/>
      <c r="B90" s="216" t="s">
        <v>208</v>
      </c>
      <c r="C90" s="218"/>
      <c r="D90" s="218"/>
      <c r="E90" s="1544"/>
      <c r="F90" s="1544"/>
      <c r="G90" s="1544"/>
      <c r="H90" s="1544"/>
      <c r="I90" s="1544"/>
      <c r="J90" s="1544"/>
      <c r="K90" s="1544"/>
      <c r="L90" s="254"/>
      <c r="M90" s="254"/>
      <c r="N90" s="254"/>
      <c r="O90" s="254"/>
      <c r="P90" s="254"/>
      <c r="Q90" s="254"/>
      <c r="R90" s="254"/>
      <c r="S90" s="254"/>
      <c r="T90" s="254"/>
      <c r="U90" s="254"/>
      <c r="V90" s="254"/>
      <c r="W90" s="254"/>
      <c r="X90" s="254"/>
      <c r="Y90" s="254"/>
      <c r="Z90" s="254"/>
      <c r="AA90" s="254"/>
      <c r="AB90" s="307"/>
      <c r="AC90" s="1145"/>
      <c r="AD90" s="316"/>
      <c r="AE90" s="1815"/>
      <c r="AF90" s="255"/>
      <c r="AG90" s="316"/>
      <c r="AH90" s="316"/>
      <c r="AI90" s="1857"/>
      <c r="AJ90" s="646"/>
      <c r="AK90" s="607"/>
      <c r="AL90" s="614"/>
    </row>
    <row r="91" spans="1:41" ht="15.75">
      <c r="A91" s="218"/>
      <c r="B91" s="218" t="s">
        <v>209</v>
      </c>
      <c r="C91" s="218"/>
      <c r="D91" s="218"/>
      <c r="E91" s="1544">
        <f>$AD91</f>
        <v>0</v>
      </c>
      <c r="F91" s="1544"/>
      <c r="G91" s="1544"/>
      <c r="H91" s="1544"/>
      <c r="I91" s="1544"/>
      <c r="J91" s="1544"/>
      <c r="K91" s="1544"/>
      <c r="L91" s="2507"/>
      <c r="M91" s="2743"/>
      <c r="N91" s="2507"/>
      <c r="O91" s="2743"/>
      <c r="P91" s="2507"/>
      <c r="Q91" s="2914"/>
      <c r="R91" s="2507"/>
      <c r="S91" s="2914"/>
      <c r="T91" s="2507"/>
      <c r="U91" s="2914"/>
      <c r="V91" s="2507"/>
      <c r="W91" s="2914"/>
      <c r="X91" s="2507"/>
      <c r="Y91" s="2914"/>
      <c r="Z91" s="2507"/>
      <c r="AA91" s="2914"/>
      <c r="AB91" s="307"/>
      <c r="AC91" s="1145"/>
      <c r="AD91" s="1544">
        <v>0</v>
      </c>
      <c r="AE91" s="1815"/>
      <c r="AF91" s="255"/>
      <c r="AG91" s="1544">
        <v>0</v>
      </c>
      <c r="AH91" s="316"/>
      <c r="AI91" s="1857"/>
      <c r="AJ91" s="307">
        <f>ROUND(AD91-AG91,1)</f>
        <v>0</v>
      </c>
      <c r="AK91" s="616"/>
      <c r="AL91" s="2324">
        <f>ROUND(IF(AG91=0,0,AJ91/ABS(AG91)),3)</f>
        <v>0</v>
      </c>
    </row>
    <row r="92" spans="1:41" ht="15.75">
      <c r="A92" s="218"/>
      <c r="B92" s="241" t="s">
        <v>176</v>
      </c>
      <c r="C92" s="218"/>
      <c r="D92" s="218"/>
      <c r="E92" s="1544">
        <f t="shared" ref="E92:E93" si="7">$AD92</f>
        <v>55.7</v>
      </c>
      <c r="F92" s="1544"/>
      <c r="G92" s="1544"/>
      <c r="H92" s="1544"/>
      <c r="I92" s="1544"/>
      <c r="J92" s="1544"/>
      <c r="K92" s="1544"/>
      <c r="L92" s="2507"/>
      <c r="M92" s="2743"/>
      <c r="N92" s="2507"/>
      <c r="O92" s="2743"/>
      <c r="P92" s="2507"/>
      <c r="Q92" s="2914"/>
      <c r="R92" s="2507"/>
      <c r="S92" s="2914"/>
      <c r="T92" s="2507"/>
      <c r="U92" s="2914"/>
      <c r="V92" s="2507"/>
      <c r="W92" s="2914"/>
      <c r="X92" s="2507"/>
      <c r="Y92" s="2914"/>
      <c r="Z92" s="2507"/>
      <c r="AA92" s="2914"/>
      <c r="AB92" s="307"/>
      <c r="AC92" s="1145"/>
      <c r="AD92" s="1544">
        <v>55.7</v>
      </c>
      <c r="AE92" s="1815"/>
      <c r="AF92" s="255"/>
      <c r="AG92" s="1544">
        <v>316.5</v>
      </c>
      <c r="AH92" s="308"/>
      <c r="AI92" s="1816"/>
      <c r="AJ92" s="307">
        <f>ROUND(AD92-AG92,1)</f>
        <v>-260.8</v>
      </c>
      <c r="AK92" s="607"/>
      <c r="AL92" s="45">
        <f>ROUND(IF(AG92=0,0,AJ92/ABS(AG92)),3)</f>
        <v>-0.82399999999999995</v>
      </c>
      <c r="AM92" s="607"/>
    </row>
    <row r="93" spans="1:41" ht="15.75">
      <c r="A93" s="218"/>
      <c r="B93" s="241" t="s">
        <v>210</v>
      </c>
      <c r="C93" s="218"/>
      <c r="D93" s="218"/>
      <c r="E93" s="1544">
        <f t="shared" si="7"/>
        <v>-25.8</v>
      </c>
      <c r="F93" s="1544"/>
      <c r="G93" s="1544"/>
      <c r="H93" s="1544"/>
      <c r="I93" s="1544"/>
      <c r="J93" s="1544"/>
      <c r="K93" s="1544"/>
      <c r="L93" s="2507"/>
      <c r="M93" s="2743"/>
      <c r="N93" s="2507"/>
      <c r="O93" s="2743"/>
      <c r="P93" s="2507"/>
      <c r="Q93" s="2914"/>
      <c r="R93" s="2507"/>
      <c r="S93" s="2914"/>
      <c r="T93" s="2507"/>
      <c r="U93" s="2914"/>
      <c r="V93" s="2507"/>
      <c r="W93" s="2914"/>
      <c r="X93" s="2507"/>
      <c r="Y93" s="2914"/>
      <c r="Z93" s="2507"/>
      <c r="AA93" s="2914"/>
      <c r="AB93" s="307"/>
      <c r="AC93" s="1145"/>
      <c r="AD93" s="2936">
        <v>-25.8</v>
      </c>
      <c r="AE93" s="1815"/>
      <c r="AF93" s="255"/>
      <c r="AG93" s="2936">
        <v>-28.6</v>
      </c>
      <c r="AH93" s="255"/>
      <c r="AI93" s="1849"/>
      <c r="AJ93" s="3449">
        <f>ROUND(-AD93+AG93,1)</f>
        <v>-2.8</v>
      </c>
      <c r="AK93" s="607"/>
      <c r="AL93" s="1554">
        <f>ROUND(IF(AG93=0,0,AJ93/ABS(AG93)),3)</f>
        <v>-9.8000000000000004E-2</v>
      </c>
      <c r="AM93" s="607"/>
    </row>
    <row r="94" spans="1:41" ht="15.75">
      <c r="A94" s="218"/>
      <c r="B94" s="218"/>
      <c r="C94" s="218"/>
      <c r="D94" s="218"/>
      <c r="E94" s="315"/>
      <c r="F94" s="307"/>
      <c r="G94" s="315"/>
      <c r="H94" s="307"/>
      <c r="I94" s="315"/>
      <c r="J94" s="307"/>
      <c r="K94" s="315"/>
      <c r="L94" s="254"/>
      <c r="M94" s="277"/>
      <c r="N94" s="254"/>
      <c r="O94" s="277"/>
      <c r="P94" s="254"/>
      <c r="Q94" s="277"/>
      <c r="R94" s="254"/>
      <c r="S94" s="277"/>
      <c r="T94" s="254"/>
      <c r="U94" s="277"/>
      <c r="V94" s="254"/>
      <c r="W94" s="277"/>
      <c r="X94" s="254"/>
      <c r="Y94" s="277"/>
      <c r="Z94" s="254"/>
      <c r="AA94" s="277"/>
      <c r="AB94" s="307"/>
      <c r="AC94" s="1145"/>
      <c r="AD94" s="646"/>
      <c r="AE94" s="1815"/>
      <c r="AF94" s="255"/>
      <c r="AG94" s="646"/>
      <c r="AH94" s="646"/>
      <c r="AI94" s="1860"/>
      <c r="AJ94" s="646"/>
      <c r="AK94" s="607"/>
      <c r="AL94" s="614"/>
    </row>
    <row r="95" spans="1:41" ht="15.75">
      <c r="A95" s="218"/>
      <c r="B95" s="216" t="s">
        <v>1313</v>
      </c>
      <c r="C95" s="218"/>
      <c r="D95" s="218"/>
      <c r="E95" s="301">
        <f>ROUND(SUM(E91:E93),1)</f>
        <v>29.9</v>
      </c>
      <c r="F95" s="301"/>
      <c r="G95" s="301">
        <f>ROUND(SUM(G91:G93),1)</f>
        <v>0</v>
      </c>
      <c r="H95" s="301"/>
      <c r="I95" s="301">
        <f>ROUND(SUM(I91:I93),1)</f>
        <v>0</v>
      </c>
      <c r="J95" s="301"/>
      <c r="K95" s="301">
        <f>ROUND(SUM(K91:K93),1)</f>
        <v>0</v>
      </c>
      <c r="L95" s="250"/>
      <c r="M95" s="250">
        <f>ROUND(SUM(M91:M93),1)</f>
        <v>0</v>
      </c>
      <c r="N95" s="250"/>
      <c r="O95" s="250">
        <f>ROUND(SUM(O91:O93),1)</f>
        <v>0</v>
      </c>
      <c r="P95" s="250"/>
      <c r="Q95" s="1587">
        <f>ROUND(SUM(Q91:Q93),1)</f>
        <v>0</v>
      </c>
      <c r="R95" s="250"/>
      <c r="S95" s="250">
        <f>ROUND(SUM(S91:S93),1)</f>
        <v>0</v>
      </c>
      <c r="T95" s="250"/>
      <c r="U95" s="1587">
        <f>ROUND(SUM(U91:U93),1)</f>
        <v>0</v>
      </c>
      <c r="V95" s="250"/>
      <c r="W95" s="250">
        <f>ROUND(SUM(W91:W93),1)</f>
        <v>0</v>
      </c>
      <c r="X95" s="250"/>
      <c r="Y95" s="250">
        <f>ROUND(SUM(Y91:Y93),1)</f>
        <v>0</v>
      </c>
      <c r="Z95" s="250"/>
      <c r="AA95" s="250">
        <f>ROUND(SUM(AA91:AA93),1)</f>
        <v>0</v>
      </c>
      <c r="AB95" s="301"/>
      <c r="AC95" s="1146"/>
      <c r="AD95" s="304">
        <f>ROUND(SUM(AD91:AD93),1)</f>
        <v>29.9</v>
      </c>
      <c r="AE95" s="1820"/>
      <c r="AF95" s="304"/>
      <c r="AG95" s="304">
        <f>ROUND(SUM(AG91:AG93),1)</f>
        <v>287.89999999999998</v>
      </c>
      <c r="AH95" s="304"/>
      <c r="AI95" s="1849"/>
      <c r="AJ95" s="302">
        <f>ROUND(AD95-AG95,1)</f>
        <v>-258</v>
      </c>
      <c r="AK95" s="624"/>
      <c r="AL95" s="2353">
        <f>ROUND(IF(AG95=0,0,AJ95/ABS(AG95)),3)</f>
        <v>-0.89600000000000002</v>
      </c>
      <c r="AM95" s="612"/>
      <c r="AN95" s="612"/>
      <c r="AO95" s="621"/>
    </row>
    <row r="96" spans="1:41" ht="15.75">
      <c r="A96" s="218"/>
      <c r="B96" s="218"/>
      <c r="C96" s="218"/>
      <c r="D96" s="218"/>
      <c r="E96" s="315"/>
      <c r="F96" s="307"/>
      <c r="G96" s="315"/>
      <c r="H96" s="307"/>
      <c r="I96" s="315"/>
      <c r="J96" s="307"/>
      <c r="K96" s="315"/>
      <c r="L96" s="254"/>
      <c r="M96" s="277"/>
      <c r="N96" s="254"/>
      <c r="O96" s="277"/>
      <c r="P96" s="254"/>
      <c r="Q96" s="277"/>
      <c r="R96" s="254"/>
      <c r="S96" s="277"/>
      <c r="T96" s="254"/>
      <c r="U96" s="277"/>
      <c r="V96" s="254"/>
      <c r="W96" s="277"/>
      <c r="X96" s="254"/>
      <c r="Y96" s="277"/>
      <c r="Z96" s="254"/>
      <c r="AA96" s="277"/>
      <c r="AB96" s="307"/>
      <c r="AC96" s="1145"/>
      <c r="AD96" s="315"/>
      <c r="AE96" s="1815"/>
      <c r="AF96" s="255"/>
      <c r="AG96" s="315"/>
      <c r="AH96" s="255"/>
      <c r="AI96" s="1849"/>
      <c r="AJ96" s="646"/>
      <c r="AK96" s="607"/>
      <c r="AL96" s="614"/>
      <c r="AO96" s="357"/>
    </row>
    <row r="97" spans="1:41" ht="15.75">
      <c r="A97" s="218"/>
      <c r="B97" s="218"/>
      <c r="C97" s="218"/>
      <c r="D97" s="218"/>
      <c r="E97" s="307" t="s">
        <v>15</v>
      </c>
      <c r="F97" s="307" t="s">
        <v>15</v>
      </c>
      <c r="G97" s="307" t="s">
        <v>15</v>
      </c>
      <c r="H97" s="307"/>
      <c r="I97" s="307" t="s">
        <v>15</v>
      </c>
      <c r="J97" s="307"/>
      <c r="K97" s="307" t="s">
        <v>15</v>
      </c>
      <c r="L97" s="254"/>
      <c r="M97" s="254" t="s">
        <v>15</v>
      </c>
      <c r="N97" s="254"/>
      <c r="O97" s="254" t="s">
        <v>15</v>
      </c>
      <c r="P97" s="254"/>
      <c r="Q97" s="254" t="s">
        <v>15</v>
      </c>
      <c r="R97" s="254"/>
      <c r="S97" s="254" t="s">
        <v>15</v>
      </c>
      <c r="T97" s="254"/>
      <c r="U97" s="254" t="s">
        <v>15</v>
      </c>
      <c r="V97" s="254"/>
      <c r="W97" s="254" t="s">
        <v>15</v>
      </c>
      <c r="X97" s="254"/>
      <c r="Y97" s="254" t="s">
        <v>15</v>
      </c>
      <c r="Z97" s="254"/>
      <c r="AA97" s="254" t="s">
        <v>15</v>
      </c>
      <c r="AB97" s="307"/>
      <c r="AC97" s="1145"/>
      <c r="AD97" s="307"/>
      <c r="AE97" s="1815"/>
      <c r="AF97" s="255"/>
      <c r="AG97" s="307"/>
      <c r="AH97" s="307"/>
      <c r="AI97" s="1849"/>
      <c r="AJ97" s="646" t="s">
        <v>15</v>
      </c>
      <c r="AK97" s="607"/>
      <c r="AL97" s="614"/>
    </row>
    <row r="98" spans="1:41" ht="15.75">
      <c r="A98" s="218"/>
      <c r="B98" s="216" t="s">
        <v>212</v>
      </c>
      <c r="C98" s="218"/>
      <c r="D98" s="218"/>
      <c r="E98" s="307"/>
      <c r="F98" s="307"/>
      <c r="G98" s="307" t="s">
        <v>15</v>
      </c>
      <c r="H98" s="307"/>
      <c r="I98" s="307" t="s">
        <v>15</v>
      </c>
      <c r="J98" s="307"/>
      <c r="K98" s="307" t="s">
        <v>15</v>
      </c>
      <c r="L98" s="254"/>
      <c r="M98" s="254" t="s">
        <v>15</v>
      </c>
      <c r="N98" s="254"/>
      <c r="O98" s="254" t="s">
        <v>15</v>
      </c>
      <c r="P98" s="254"/>
      <c r="Q98" s="254" t="s">
        <v>15</v>
      </c>
      <c r="R98" s="254"/>
      <c r="S98" s="254" t="s">
        <v>15</v>
      </c>
      <c r="T98" s="254"/>
      <c r="U98" s="254" t="s">
        <v>15</v>
      </c>
      <c r="V98" s="254"/>
      <c r="W98" s="254" t="s">
        <v>15</v>
      </c>
      <c r="X98" s="254"/>
      <c r="Y98" s="254" t="s">
        <v>15</v>
      </c>
      <c r="Z98" s="254"/>
      <c r="AA98" s="254" t="s">
        <v>15</v>
      </c>
      <c r="AB98" s="307"/>
      <c r="AC98" s="1145"/>
      <c r="AD98" s="307"/>
      <c r="AE98" s="1815"/>
      <c r="AF98" s="255"/>
      <c r="AG98" s="307"/>
      <c r="AH98" s="307"/>
      <c r="AI98" s="1849"/>
      <c r="AJ98" s="646"/>
      <c r="AK98" s="607"/>
      <c r="AL98" s="614"/>
    </row>
    <row r="99" spans="1:41" ht="15.75">
      <c r="A99" s="218"/>
      <c r="B99" s="216" t="s">
        <v>213</v>
      </c>
      <c r="C99" s="218"/>
      <c r="D99" s="218"/>
      <c r="E99" s="307" t="s">
        <v>15</v>
      </c>
      <c r="F99" s="307"/>
      <c r="G99" s="307"/>
      <c r="H99" s="307"/>
      <c r="I99" s="307"/>
      <c r="J99" s="307"/>
      <c r="K99" s="307"/>
      <c r="L99" s="254"/>
      <c r="M99" s="254"/>
      <c r="N99" s="254"/>
      <c r="O99" s="254"/>
      <c r="P99" s="254"/>
      <c r="Q99" s="254"/>
      <c r="R99" s="254"/>
      <c r="S99" s="254"/>
      <c r="T99" s="254"/>
      <c r="U99" s="254"/>
      <c r="V99" s="254"/>
      <c r="W99" s="254"/>
      <c r="X99" s="254"/>
      <c r="Y99" s="254"/>
      <c r="Z99" s="254"/>
      <c r="AA99" s="254"/>
      <c r="AB99" s="307"/>
      <c r="AC99" s="1145"/>
      <c r="AD99" s="646"/>
      <c r="AE99" s="1815"/>
      <c r="AF99" s="255"/>
      <c r="AG99" s="646"/>
      <c r="AH99" s="646"/>
      <c r="AI99" s="1860"/>
      <c r="AJ99" s="646"/>
      <c r="AK99" s="607"/>
      <c r="AL99" s="614"/>
      <c r="AO99" s="642"/>
    </row>
    <row r="100" spans="1:41" s="640" customFormat="1" ht="15.75">
      <c r="A100" s="254"/>
      <c r="B100" s="1587" t="s">
        <v>1314</v>
      </c>
      <c r="C100" s="254"/>
      <c r="D100" s="254"/>
      <c r="E100" s="3085">
        <f>ROUND(SUM(E88+E95),1)</f>
        <v>-41.1</v>
      </c>
      <c r="F100" s="3079"/>
      <c r="G100" s="3085">
        <f>ROUND(SUM(G88+G95),1)</f>
        <v>0</v>
      </c>
      <c r="H100" s="3079"/>
      <c r="I100" s="3085">
        <f>ROUND(SUM(I88+I95),1)</f>
        <v>0</v>
      </c>
      <c r="J100" s="3079"/>
      <c r="K100" s="3085">
        <f>ROUND(SUM(K88+K95),1)</f>
        <v>0</v>
      </c>
      <c r="L100" s="3080"/>
      <c r="M100" s="3085">
        <f>ROUND(SUM(M88+M95),1)</f>
        <v>0</v>
      </c>
      <c r="N100" s="3080"/>
      <c r="O100" s="3085">
        <f>ROUND(SUM(O88+O95),1)</f>
        <v>0</v>
      </c>
      <c r="P100" s="3080"/>
      <c r="Q100" s="3085">
        <f>ROUND(SUM(Q88+Q95),1)</f>
        <v>0</v>
      </c>
      <c r="R100" s="3080"/>
      <c r="S100" s="3085">
        <f>ROUND(SUM(S88+S95),1)</f>
        <v>0</v>
      </c>
      <c r="T100" s="3080"/>
      <c r="U100" s="3085">
        <f>ROUND(SUM(U88+U95),1)</f>
        <v>0</v>
      </c>
      <c r="V100" s="3080"/>
      <c r="W100" s="3085">
        <f>ROUND(SUM(W88+W95),1)</f>
        <v>0</v>
      </c>
      <c r="X100" s="3081"/>
      <c r="Y100" s="3085">
        <f>ROUND(SUM(Y88+Y95),1)</f>
        <v>0</v>
      </c>
      <c r="Z100" s="3080"/>
      <c r="AA100" s="3085">
        <f>ROUND(SUM(AA88+AA95),1)</f>
        <v>0</v>
      </c>
      <c r="AB100" s="3079"/>
      <c r="AC100" s="3082"/>
      <c r="AD100" s="3085">
        <f>ROUND(SUM(AD88+AD95),1)</f>
        <v>-41.1</v>
      </c>
      <c r="AE100" s="3083"/>
      <c r="AF100" s="304"/>
      <c r="AG100" s="3085">
        <f>ROUND(SUM(AG88+AG95),1)</f>
        <v>-10.5</v>
      </c>
      <c r="AH100" s="2927"/>
      <c r="AI100" s="1860"/>
      <c r="AJ100" s="3085">
        <f>ROUND(SUM(AJ88+AJ95),1)</f>
        <v>-30.6</v>
      </c>
      <c r="AK100" s="630"/>
      <c r="AL100" s="1658">
        <f>ROUND(IF(AG100=0,0,AJ100/ABS(AG100)),3)</f>
        <v>-2.9140000000000001</v>
      </c>
      <c r="AM100" s="3084"/>
    </row>
    <row r="101" spans="1:41">
      <c r="B101" s="411"/>
      <c r="X101" s="643"/>
      <c r="AC101" s="3089"/>
      <c r="AF101" s="3089"/>
      <c r="AI101" s="3090"/>
    </row>
    <row r="102" spans="1:41" ht="16.5" thickBot="1">
      <c r="B102" s="216" t="s">
        <v>1312</v>
      </c>
      <c r="C102" s="636"/>
      <c r="D102" s="636"/>
      <c r="E102" s="3086">
        <f>ROUND(SUM(E14+E100),1)</f>
        <v>-609.5</v>
      </c>
      <c r="F102" s="1836"/>
      <c r="G102" s="3086">
        <f>ROUND(SUM(G14+G100),1)</f>
        <v>0</v>
      </c>
      <c r="I102" s="3086">
        <f>ROUND(SUM(I14+I100),1)</f>
        <v>0</v>
      </c>
      <c r="K102" s="3086">
        <f>ROUND(SUM(K14+K100),1)</f>
        <v>0</v>
      </c>
      <c r="M102" s="3087">
        <f>ROUND(SUM(M14+M100),1)</f>
        <v>0</v>
      </c>
      <c r="O102" s="3087">
        <f>ROUND(SUM(O14+O100),1)</f>
        <v>0</v>
      </c>
      <c r="Q102" s="3087">
        <f>ROUND(SUM(Q14+Q100),1)</f>
        <v>0</v>
      </c>
      <c r="S102" s="3087">
        <f>ROUND(SUM(S14+S100),1)</f>
        <v>0</v>
      </c>
      <c r="U102" s="3087">
        <f>ROUND(SUM(U14+U100),1)</f>
        <v>0</v>
      </c>
      <c r="W102" s="3087">
        <f>ROUND(SUM(W14+W100),1)</f>
        <v>0</v>
      </c>
      <c r="Y102" s="3087">
        <f>ROUND(SUM(Y14+Y100),1)</f>
        <v>0</v>
      </c>
      <c r="AA102" s="3087">
        <f>ROUND(SUM(AA14+AA100),1)</f>
        <v>0</v>
      </c>
      <c r="AC102" s="3089"/>
      <c r="AD102" s="3086">
        <f>ROUND(SUM(AD14+AD100),1)</f>
        <v>-609.5</v>
      </c>
      <c r="AF102" s="3089"/>
      <c r="AG102" s="3086">
        <f>ROUND(SUM(AG14+AG100),1)</f>
        <v>-501.4</v>
      </c>
      <c r="AI102" s="3090"/>
      <c r="AJ102" s="3086">
        <f>ROUND(SUM(AJ14+AJ100),1)</f>
        <v>-108.1</v>
      </c>
      <c r="AL102" s="3291">
        <f>ROUND(IF(AG102=0,0,AJ102/ABS(AG102)),3)</f>
        <v>-0.216</v>
      </c>
    </row>
    <row r="103" spans="1:41" ht="15.75" thickTop="1">
      <c r="B103" s="2369"/>
      <c r="C103" s="636"/>
      <c r="D103" s="636"/>
      <c r="E103" s="1836"/>
      <c r="F103" s="1836"/>
      <c r="G103" s="1836"/>
      <c r="AG103" s="1893"/>
      <c r="AJ103" s="1848"/>
    </row>
    <row r="104" spans="1:41">
      <c r="B104" s="639"/>
    </row>
    <row r="105" spans="1:41">
      <c r="B105" s="639"/>
    </row>
    <row r="106" spans="1:41">
      <c r="B106" s="635"/>
    </row>
    <row r="107" spans="1:41">
      <c r="B107" s="639"/>
    </row>
    <row r="108" spans="1:41">
      <c r="B108" s="639"/>
    </row>
    <row r="109" spans="1:41">
      <c r="B109" s="635"/>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31" orientation="landscape" useFirstPageNumber="1" r:id="rId2"/>
  <headerFooter scaleWithDoc="0" alignWithMargins="0">
    <oddFooter>&amp;C&amp;8&amp;P</oddFooter>
  </headerFooter>
  <rowBreaks count="1" manualBreakCount="1">
    <brk id="65" min="1" max="37" man="1"/>
  </rowBreaks>
  <ignoredErrors>
    <ignoredError sqref="AL39 AL32:AL35 AL37 AL94 AL96:AL100 AL89:AL90 AL86:AL87 AL92:AL93 AL79 AL84 AL85 AL80:AL83 AL76:AL78 AL23 AL31 AL28 AL19:AL22 AL29:AL30 AL24 AL26:AL27" unlockedFormula="1"/>
    <ignoredError sqref="AL46 AL25 AL64 AL62 AL63 AL72:AL73 AL69:AL70 AL71 AL65:AL67 AL61 AL52" formula="1" unlockedFormula="1"/>
    <ignoredError sqref="AL48:AL49 AL53:AL54 AL51 AL57:AL59 AL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85"/>
  <sheetViews>
    <sheetView showGridLines="0" zoomScale="70" zoomScaleNormal="70" workbookViewId="0"/>
  </sheetViews>
  <sheetFormatPr defaultColWidth="8.88671875" defaultRowHeight="15"/>
  <cols>
    <col min="1" max="1" width="2.5546875" style="290" customWidth="1"/>
    <col min="2" max="2" width="14.33203125" style="290" customWidth="1"/>
    <col min="3" max="3" width="32" style="290" customWidth="1"/>
    <col min="4" max="4" width="4.5546875" style="1828" customWidth="1"/>
    <col min="5" max="5" width="11.109375" style="1828" customWidth="1"/>
    <col min="6" max="6" width="1.77734375" style="1828" customWidth="1"/>
    <col min="7" max="7" width="11" style="1828" bestFit="1" customWidth="1"/>
    <col min="8" max="8" width="1.77734375" style="1828" customWidth="1"/>
    <col min="9" max="9" width="11" style="1828" bestFit="1" customWidth="1"/>
    <col min="10" max="10" width="1.77734375" style="1828" customWidth="1"/>
    <col min="11" max="11" width="12.21875" style="1828" customWidth="1"/>
    <col min="12" max="12" width="1.77734375" style="290" customWidth="1"/>
    <col min="13" max="13" width="8.88671875" style="290"/>
    <col min="14" max="14" width="1.77734375" style="290" customWidth="1"/>
    <col min="15" max="15" width="13.88671875" style="290" customWidth="1"/>
    <col min="16" max="16" width="1.77734375" style="290" customWidth="1"/>
    <col min="17" max="17" width="12.44140625" style="290" customWidth="1"/>
    <col min="18" max="18" width="1.77734375" style="290" customWidth="1"/>
    <col min="19" max="19" width="12.5546875" style="290" customWidth="1"/>
    <col min="20" max="20" width="1.77734375" style="290" customWidth="1"/>
    <col min="21" max="21" width="10.77734375" style="290" customWidth="1"/>
    <col min="22" max="22" width="1.77734375" style="290" customWidth="1"/>
    <col min="23" max="23" width="10.5546875" style="290" customWidth="1"/>
    <col min="24" max="24" width="1.77734375" style="290" customWidth="1"/>
    <col min="25" max="25" width="10.77734375" style="290" customWidth="1"/>
    <col min="26" max="26" width="1.77734375" style="290" customWidth="1"/>
    <col min="27" max="27" width="11.88671875" style="1828" customWidth="1"/>
    <col min="28" max="29" width="1.77734375" style="1828" customWidth="1"/>
    <col min="30" max="30" width="10.5546875" style="1828" customWidth="1"/>
    <col min="31" max="32" width="1" style="1828" customWidth="1"/>
    <col min="33" max="33" width="12.88671875" style="1828" customWidth="1"/>
    <col min="34" max="35" width="1" style="1828" customWidth="1"/>
    <col min="36" max="36" width="13.109375" style="1828" bestFit="1" customWidth="1"/>
    <col min="37" max="37" width="1.33203125" style="290" customWidth="1"/>
    <col min="38" max="38" width="11.33203125" style="290" customWidth="1"/>
    <col min="39" max="16384" width="8.88671875" style="290"/>
  </cols>
  <sheetData>
    <row r="1" spans="1:39">
      <c r="B1" s="1052" t="s">
        <v>1064</v>
      </c>
    </row>
    <row r="2" spans="1:39">
      <c r="B2" s="1456"/>
    </row>
    <row r="3" spans="1:39" ht="19.5" customHeight="1">
      <c r="A3" s="596"/>
      <c r="B3" s="511" t="s">
        <v>0</v>
      </c>
      <c r="C3" s="597"/>
      <c r="D3" s="1829"/>
      <c r="E3" s="1829"/>
      <c r="F3" s="1830"/>
      <c r="G3" s="1830"/>
      <c r="H3" s="1830"/>
      <c r="I3" s="1830"/>
      <c r="J3" s="1830"/>
      <c r="K3" s="1830"/>
      <c r="L3" s="598"/>
      <c r="M3" s="598"/>
      <c r="N3" s="598"/>
      <c r="O3" s="598"/>
      <c r="P3" s="598"/>
      <c r="Q3" s="598"/>
      <c r="R3" s="598"/>
      <c r="S3" s="644"/>
      <c r="T3" s="598"/>
      <c r="U3" s="598"/>
      <c r="V3" s="598"/>
      <c r="W3" s="598"/>
      <c r="X3" s="598"/>
      <c r="Y3" s="598"/>
      <c r="Z3" s="598"/>
      <c r="AA3" s="1830"/>
      <c r="AB3" s="1830"/>
      <c r="AC3" s="1830"/>
      <c r="AD3" s="1830"/>
      <c r="AE3" s="1830"/>
      <c r="AF3" s="1830"/>
      <c r="AG3" s="1830"/>
      <c r="AH3" s="1830"/>
      <c r="AI3" s="1830"/>
      <c r="AL3" s="483" t="s">
        <v>197</v>
      </c>
    </row>
    <row r="4" spans="1:39" ht="19.5" customHeight="1">
      <c r="A4" s="596"/>
      <c r="B4" s="511" t="s">
        <v>215</v>
      </c>
      <c r="C4" s="597"/>
      <c r="D4" s="1829"/>
      <c r="E4" s="1829"/>
      <c r="F4" s="1830"/>
      <c r="G4" s="1830"/>
      <c r="H4" s="1830"/>
      <c r="I4" s="1830"/>
      <c r="J4" s="1830"/>
      <c r="K4" s="1830"/>
      <c r="L4" s="598"/>
      <c r="M4" s="598"/>
      <c r="N4" s="598"/>
      <c r="O4" s="598"/>
      <c r="P4" s="598"/>
      <c r="Q4" s="598"/>
      <c r="R4" s="598"/>
      <c r="S4" s="598"/>
      <c r="T4" s="598"/>
      <c r="U4" s="598"/>
      <c r="V4" s="598"/>
      <c r="W4" s="598"/>
      <c r="X4" s="598"/>
      <c r="Y4" s="598"/>
      <c r="Z4" s="598"/>
      <c r="AA4" s="1830"/>
      <c r="AB4" s="1830"/>
      <c r="AC4" s="1830"/>
      <c r="AE4" s="1837"/>
      <c r="AF4" s="1837"/>
    </row>
    <row r="5" spans="1:39" ht="19.5" customHeight="1">
      <c r="A5" s="596"/>
      <c r="B5" s="2506" t="s">
        <v>150</v>
      </c>
      <c r="C5" s="597"/>
      <c r="D5" s="1829"/>
      <c r="E5" s="1829"/>
      <c r="F5" s="1830"/>
      <c r="G5" s="1830"/>
      <c r="H5" s="1830"/>
      <c r="I5" s="1830"/>
      <c r="J5" s="1830"/>
      <c r="K5" s="1830"/>
      <c r="L5" s="598"/>
      <c r="M5" s="598"/>
      <c r="N5" s="598"/>
      <c r="O5" s="598"/>
      <c r="P5" s="598"/>
      <c r="Q5" s="598"/>
      <c r="R5" s="598"/>
      <c r="S5" s="598"/>
      <c r="T5" s="598"/>
      <c r="U5" s="598"/>
      <c r="V5" s="598"/>
      <c r="W5" s="598"/>
      <c r="X5" s="598"/>
      <c r="Y5" s="598"/>
      <c r="Z5" s="598"/>
      <c r="AA5" s="1830"/>
      <c r="AB5" s="1830"/>
      <c r="AC5" s="1830"/>
      <c r="AD5" s="1830"/>
      <c r="AE5" s="1830"/>
      <c r="AF5" s="1830"/>
      <c r="AG5" s="1830"/>
      <c r="AH5" s="1830"/>
      <c r="AI5" s="1830"/>
      <c r="AL5" s="483"/>
    </row>
    <row r="6" spans="1:39" ht="19.5" customHeight="1">
      <c r="A6" s="596"/>
      <c r="B6" s="2506" t="str">
        <f>'Cashflow Governmental'!A6</f>
        <v>FISCAL YEAR 2018-2019</v>
      </c>
      <c r="C6" s="1528"/>
      <c r="D6" s="1829"/>
      <c r="E6" s="1829"/>
      <c r="F6" s="1830"/>
      <c r="G6" s="1830"/>
      <c r="H6" s="1831"/>
      <c r="I6" s="1830"/>
      <c r="J6" s="1830"/>
      <c r="K6" s="1830"/>
      <c r="L6" s="598"/>
      <c r="M6" s="598"/>
      <c r="N6" s="598"/>
      <c r="O6" s="598"/>
      <c r="P6" s="598"/>
      <c r="Q6" s="598"/>
      <c r="R6" s="598"/>
      <c r="S6" s="598"/>
      <c r="T6" s="598"/>
      <c r="U6" s="598"/>
      <c r="V6" s="598"/>
      <c r="W6" s="598"/>
      <c r="X6" s="598"/>
      <c r="Y6" s="598"/>
      <c r="Z6" s="598"/>
      <c r="AA6" s="1830"/>
      <c r="AB6" s="1830"/>
      <c r="AC6" s="1830"/>
      <c r="AD6" s="1830"/>
      <c r="AE6" s="1838"/>
      <c r="AF6" s="1838"/>
      <c r="AG6" s="1838"/>
      <c r="AH6" s="1838"/>
      <c r="AI6" s="1838"/>
    </row>
    <row r="7" spans="1:39" ht="19.5" customHeight="1">
      <c r="A7" s="596"/>
      <c r="B7" s="602" t="s">
        <v>958</v>
      </c>
      <c r="C7" s="597"/>
      <c r="D7" s="1829"/>
      <c r="E7" s="1829"/>
      <c r="F7" s="1830"/>
      <c r="G7" s="1830"/>
      <c r="H7" s="1831"/>
      <c r="I7" s="1830"/>
      <c r="J7" s="1830"/>
      <c r="K7" s="1830"/>
      <c r="L7" s="598"/>
      <c r="M7" s="598"/>
      <c r="N7" s="598"/>
      <c r="O7" s="598"/>
      <c r="P7" s="598"/>
      <c r="Q7" s="598"/>
      <c r="R7" s="598"/>
      <c r="S7" s="598"/>
      <c r="T7" s="598"/>
      <c r="U7" s="598"/>
      <c r="V7" s="598"/>
      <c r="W7" s="598"/>
      <c r="X7" s="598"/>
      <c r="Y7" s="598"/>
      <c r="Z7" s="598"/>
      <c r="AA7" s="1830"/>
      <c r="AB7" s="1830"/>
      <c r="AC7" s="1830"/>
      <c r="AD7" s="1830"/>
      <c r="AE7" s="1838"/>
      <c r="AF7" s="1838"/>
      <c r="AG7" s="1838"/>
      <c r="AH7" s="1838"/>
      <c r="AI7" s="1838"/>
    </row>
    <row r="8" spans="1:39" ht="19.5" customHeight="1">
      <c r="A8" s="596"/>
      <c r="B8" s="481"/>
      <c r="C8" s="597"/>
      <c r="D8" s="1829"/>
      <c r="E8" s="1829"/>
      <c r="F8" s="1830"/>
      <c r="G8" s="1830"/>
      <c r="H8" s="1831"/>
      <c r="I8" s="1830"/>
      <c r="J8" s="1830"/>
      <c r="K8" s="1830"/>
      <c r="L8" s="598"/>
      <c r="M8" s="598"/>
      <c r="N8" s="598"/>
      <c r="O8" s="598"/>
      <c r="P8" s="598"/>
      <c r="Q8" s="598"/>
      <c r="R8" s="598"/>
      <c r="S8" s="598"/>
      <c r="T8" s="598"/>
      <c r="U8" s="598"/>
      <c r="V8" s="598"/>
      <c r="W8" s="598"/>
      <c r="X8" s="598"/>
      <c r="Y8" s="598"/>
      <c r="Z8" s="598"/>
      <c r="AA8" s="1830"/>
      <c r="AB8" s="1830"/>
      <c r="AC8" s="1830"/>
      <c r="AD8" s="1830"/>
      <c r="AE8" s="1838"/>
      <c r="AF8" s="1838"/>
      <c r="AG8" s="1838"/>
      <c r="AH8" s="1838"/>
      <c r="AI8" s="1838"/>
    </row>
    <row r="9" spans="1:39" ht="15.75" customHeight="1">
      <c r="A9" s="596"/>
      <c r="B9" s="602"/>
      <c r="C9" s="597"/>
      <c r="D9" s="1829"/>
      <c r="E9" s="1829"/>
      <c r="F9" s="1830"/>
      <c r="G9" s="1830"/>
      <c r="H9" s="1830"/>
      <c r="I9" s="1830"/>
      <c r="J9" s="1830"/>
      <c r="K9" s="1830"/>
      <c r="L9" s="598"/>
      <c r="M9" s="598"/>
      <c r="N9" s="598"/>
      <c r="O9" s="598"/>
      <c r="P9" s="598"/>
      <c r="Q9" s="598"/>
      <c r="R9" s="598"/>
      <c r="S9" s="598"/>
      <c r="T9" s="598"/>
      <c r="U9" s="598"/>
      <c r="V9" s="598"/>
      <c r="W9" s="598"/>
      <c r="X9" s="598"/>
      <c r="Y9" s="598"/>
      <c r="Z9" s="598"/>
      <c r="AA9" s="1830"/>
      <c r="AB9" s="1830"/>
      <c r="AC9" s="1839"/>
    </row>
    <row r="10" spans="1:39" ht="23.25">
      <c r="A10" s="596"/>
      <c r="B10" s="602"/>
      <c r="C10" s="597"/>
      <c r="D10" s="1829"/>
      <c r="E10" s="1829"/>
      <c r="F10" s="1830"/>
      <c r="G10" s="1830"/>
      <c r="H10" s="1830"/>
      <c r="I10" s="1830"/>
      <c r="J10" s="1830"/>
      <c r="K10" s="1830"/>
      <c r="L10" s="598"/>
      <c r="M10" s="598"/>
      <c r="N10" s="598"/>
      <c r="O10" s="598"/>
      <c r="P10" s="598"/>
      <c r="Q10" s="598"/>
      <c r="R10" s="598"/>
      <c r="S10" s="598"/>
      <c r="T10" s="598"/>
      <c r="U10" s="598"/>
      <c r="V10" s="598"/>
      <c r="W10" s="598"/>
      <c r="X10" s="598"/>
      <c r="Y10" s="598"/>
      <c r="Z10" s="598"/>
      <c r="AA10" s="1830"/>
      <c r="AB10" s="1830"/>
      <c r="AC10" s="1839"/>
      <c r="AD10" s="3753" t="s">
        <v>1466</v>
      </c>
      <c r="AE10" s="3757"/>
      <c r="AF10" s="3757"/>
      <c r="AG10" s="3757"/>
      <c r="AH10" s="3757"/>
      <c r="AI10" s="3757"/>
      <c r="AJ10" s="3757"/>
      <c r="AK10" s="3757"/>
      <c r="AL10" s="3757"/>
    </row>
    <row r="11" spans="1:39" ht="15.75">
      <c r="A11" s="605"/>
      <c r="B11" s="605"/>
      <c r="C11" s="605"/>
      <c r="D11" s="1861"/>
      <c r="E11" s="1283" t="str">
        <f>'Cashflow Governmental'!C13</f>
        <v>2018</v>
      </c>
      <c r="F11" s="1832"/>
      <c r="G11" s="1832"/>
      <c r="H11" s="1832"/>
      <c r="I11" s="1832"/>
      <c r="J11" s="1832"/>
      <c r="K11" s="1832"/>
      <c r="L11" s="1321"/>
      <c r="M11" s="1321"/>
      <c r="N11" s="1321"/>
      <c r="O11" s="1321"/>
      <c r="P11" s="1321"/>
      <c r="Q11" s="1321"/>
      <c r="R11" s="1321"/>
      <c r="S11" s="1321"/>
      <c r="T11" s="1321"/>
      <c r="U11" s="1321"/>
      <c r="V11" s="1321"/>
      <c r="W11" s="1293" t="str">
        <f>'Cashflow Governmental'!U13</f>
        <v>2019</v>
      </c>
      <c r="X11" s="1321"/>
      <c r="Y11" s="1321"/>
      <c r="Z11" s="1321"/>
      <c r="AA11" s="1832"/>
      <c r="AB11" s="1832"/>
      <c r="AC11" s="1832"/>
      <c r="AD11" s="1841"/>
      <c r="AE11" s="1841"/>
      <c r="AF11" s="1841"/>
      <c r="AG11" s="1841"/>
      <c r="AH11" s="1841"/>
      <c r="AI11" s="1841"/>
      <c r="AJ11" s="1842" t="s">
        <v>8</v>
      </c>
      <c r="AK11" s="1299"/>
      <c r="AL11" s="1294" t="s">
        <v>9</v>
      </c>
      <c r="AM11" s="1325"/>
    </row>
    <row r="12" spans="1:39" ht="15.75">
      <c r="A12" s="218"/>
      <c r="B12" s="218"/>
      <c r="C12" s="218"/>
      <c r="D12" s="296"/>
      <c r="E12" s="1323" t="s">
        <v>126</v>
      </c>
      <c r="F12" s="294"/>
      <c r="G12" s="1323" t="s">
        <v>127</v>
      </c>
      <c r="H12" s="294"/>
      <c r="I12" s="1323" t="s">
        <v>128</v>
      </c>
      <c r="J12" s="294"/>
      <c r="K12" s="1323" t="s">
        <v>129</v>
      </c>
      <c r="L12" s="216"/>
      <c r="M12" s="1275" t="s">
        <v>130</v>
      </c>
      <c r="N12" s="216"/>
      <c r="O12" s="1275" t="s">
        <v>145</v>
      </c>
      <c r="P12" s="216"/>
      <c r="Q12" s="1275" t="s">
        <v>146</v>
      </c>
      <c r="R12" s="216"/>
      <c r="S12" s="1275" t="s">
        <v>133</v>
      </c>
      <c r="T12" s="216"/>
      <c r="U12" s="1275" t="s">
        <v>134</v>
      </c>
      <c r="V12" s="216"/>
      <c r="W12" s="1275" t="s">
        <v>135</v>
      </c>
      <c r="X12" s="216"/>
      <c r="Y12" s="1275" t="s">
        <v>136</v>
      </c>
      <c r="Z12" s="216"/>
      <c r="AA12" s="1323" t="s">
        <v>188</v>
      </c>
      <c r="AB12" s="294"/>
      <c r="AC12" s="294"/>
      <c r="AD12" s="1323" t="str">
        <f>'Cashflow Governmental'!AB14</f>
        <v>2018</v>
      </c>
      <c r="AE12" s="294" t="s">
        <v>15</v>
      </c>
      <c r="AF12" s="294"/>
      <c r="AG12" s="1323" t="str">
        <f>'Cashflow Governmental'!AE14</f>
        <v>2017</v>
      </c>
      <c r="AH12" s="1324"/>
      <c r="AI12" s="1324"/>
      <c r="AJ12" s="1843" t="s">
        <v>12</v>
      </c>
      <c r="AK12" s="1297"/>
      <c r="AL12" s="1306" t="s">
        <v>13</v>
      </c>
      <c r="AM12" s="1325"/>
    </row>
    <row r="13" spans="1:39" ht="5.25" customHeight="1">
      <c r="A13" s="218"/>
      <c r="B13" s="216"/>
      <c r="C13" s="216"/>
      <c r="D13" s="296"/>
      <c r="E13" s="329"/>
      <c r="F13" s="329"/>
      <c r="G13" s="329"/>
      <c r="H13" s="329"/>
      <c r="I13" s="329"/>
      <c r="J13" s="329"/>
      <c r="K13" s="329"/>
      <c r="L13" s="355"/>
      <c r="M13" s="355"/>
      <c r="N13" s="355"/>
      <c r="O13" s="355"/>
      <c r="P13" s="355"/>
      <c r="Q13" s="355"/>
      <c r="R13" s="355"/>
      <c r="S13" s="355"/>
      <c r="T13" s="355"/>
      <c r="U13" s="355"/>
      <c r="V13" s="355"/>
      <c r="W13" s="355"/>
      <c r="X13" s="355"/>
      <c r="Y13" s="355"/>
      <c r="Z13" s="355"/>
      <c r="AA13" s="329"/>
      <c r="AB13" s="329"/>
      <c r="AC13" s="1793"/>
      <c r="AD13" s="329"/>
      <c r="AE13" s="329"/>
      <c r="AF13" s="1863"/>
      <c r="AG13" s="329"/>
      <c r="AH13" s="329"/>
      <c r="AI13" s="1705"/>
      <c r="AJ13" s="1846"/>
      <c r="AK13" s="607"/>
      <c r="AL13" s="607"/>
    </row>
    <row r="14" spans="1:39" ht="15.75">
      <c r="A14" s="218"/>
      <c r="B14" s="3041" t="s">
        <v>1358</v>
      </c>
      <c r="C14" s="216"/>
      <c r="D14" s="3070"/>
      <c r="E14" s="543">
        <v>-582.79999999999995</v>
      </c>
      <c r="F14" s="329"/>
      <c r="G14" s="324"/>
      <c r="H14" s="329"/>
      <c r="I14" s="324"/>
      <c r="J14" s="329"/>
      <c r="K14" s="324"/>
      <c r="L14" s="355"/>
      <c r="M14" s="283"/>
      <c r="N14" s="355"/>
      <c r="O14" s="283"/>
      <c r="P14" s="355"/>
      <c r="Q14" s="283"/>
      <c r="R14" s="1116" t="s">
        <v>15</v>
      </c>
      <c r="S14" s="283"/>
      <c r="T14" s="237"/>
      <c r="U14" s="283"/>
      <c r="V14" s="1116" t="s">
        <v>15</v>
      </c>
      <c r="W14" s="283"/>
      <c r="X14" s="1116" t="s">
        <v>15</v>
      </c>
      <c r="Y14" s="283"/>
      <c r="Z14" s="237"/>
      <c r="AA14" s="324"/>
      <c r="AB14" s="329"/>
      <c r="AC14" s="1793"/>
      <c r="AD14" s="3091">
        <f>E14</f>
        <v>-582.79999999999995</v>
      </c>
      <c r="AE14" s="329"/>
      <c r="AF14" s="1863"/>
      <c r="AG14" s="3091">
        <v>-569.6</v>
      </c>
      <c r="AH14" s="329"/>
      <c r="AI14" s="1705"/>
      <c r="AJ14" s="3092">
        <f>+AD14-AG14</f>
        <v>-13.199999999999932</v>
      </c>
      <c r="AK14" s="607"/>
      <c r="AL14" s="611">
        <f>-ROUND((+AJ14/AG14),3)</f>
        <v>-2.3E-2</v>
      </c>
    </row>
    <row r="15" spans="1:39" ht="15.75">
      <c r="A15" s="218"/>
      <c r="B15" s="216"/>
      <c r="C15" s="216"/>
      <c r="D15" s="296"/>
      <c r="E15" s="329"/>
      <c r="F15" s="329"/>
      <c r="G15" s="329"/>
      <c r="H15" s="329"/>
      <c r="I15" s="329"/>
      <c r="J15" s="329"/>
      <c r="K15" s="329"/>
      <c r="L15" s="355"/>
      <c r="M15" s="355"/>
      <c r="N15" s="355"/>
      <c r="O15" s="355"/>
      <c r="P15" s="355"/>
      <c r="Q15" s="355"/>
      <c r="R15" s="355"/>
      <c r="S15" s="355"/>
      <c r="T15" s="355"/>
      <c r="U15" s="355"/>
      <c r="V15" s="355"/>
      <c r="W15" s="355"/>
      <c r="X15" s="355"/>
      <c r="Y15" s="355"/>
      <c r="Z15" s="355"/>
      <c r="AA15" s="329"/>
      <c r="AB15" s="329"/>
      <c r="AC15" s="1793"/>
      <c r="AD15" s="329"/>
      <c r="AE15" s="329"/>
      <c r="AF15" s="1863"/>
      <c r="AG15" s="329"/>
      <c r="AH15" s="329"/>
      <c r="AI15" s="1705"/>
      <c r="AJ15" s="1846"/>
      <c r="AK15" s="607"/>
      <c r="AL15" s="607"/>
    </row>
    <row r="16" spans="1:39" ht="15.75">
      <c r="A16" s="218"/>
      <c r="B16" s="216" t="s">
        <v>198</v>
      </c>
      <c r="C16" s="218"/>
      <c r="D16" s="296"/>
      <c r="E16" s="329"/>
      <c r="F16" s="329"/>
      <c r="G16" s="329"/>
      <c r="H16" s="329"/>
      <c r="I16" s="329"/>
      <c r="J16" s="329"/>
      <c r="K16" s="329"/>
      <c r="L16" s="355"/>
      <c r="M16" s="355"/>
      <c r="N16" s="355"/>
      <c r="O16" s="355"/>
      <c r="P16" s="355"/>
      <c r="Q16" s="355"/>
      <c r="R16" s="355"/>
      <c r="S16" s="355"/>
      <c r="T16" s="355"/>
      <c r="U16" s="355"/>
      <c r="V16" s="355"/>
      <c r="W16" s="355"/>
      <c r="X16" s="355"/>
      <c r="Y16" s="355"/>
      <c r="Z16" s="355"/>
      <c r="AA16" s="329"/>
      <c r="AB16" s="329"/>
      <c r="AC16" s="1793"/>
      <c r="AD16" s="329"/>
      <c r="AE16" s="306"/>
      <c r="AF16" s="1863"/>
      <c r="AG16" s="329"/>
      <c r="AH16" s="329"/>
      <c r="AI16" s="1705"/>
      <c r="AJ16" s="1846"/>
      <c r="AK16" s="607"/>
      <c r="AL16" s="607"/>
    </row>
    <row r="17" spans="1:38" ht="15.75">
      <c r="A17" s="218"/>
      <c r="B17" s="1541" t="s">
        <v>1128</v>
      </c>
      <c r="C17" s="218"/>
      <c r="D17" s="296"/>
      <c r="E17" s="1813"/>
      <c r="F17" s="307"/>
      <c r="G17" s="1813"/>
      <c r="H17" s="307"/>
      <c r="I17" s="1813"/>
      <c r="J17" s="307"/>
      <c r="K17" s="1813"/>
      <c r="L17" s="307"/>
      <c r="M17" s="307"/>
      <c r="N17" s="307"/>
      <c r="O17" s="1813"/>
      <c r="P17" s="307"/>
      <c r="Q17" s="1813"/>
      <c r="R17" s="307"/>
      <c r="S17" s="1813"/>
      <c r="T17" s="307"/>
      <c r="U17" s="1813"/>
      <c r="V17" s="307"/>
      <c r="W17" s="1813"/>
      <c r="X17" s="307"/>
      <c r="Y17" s="1813"/>
      <c r="Z17" s="307"/>
      <c r="AA17" s="1813"/>
      <c r="AB17" s="307"/>
      <c r="AC17" s="1145"/>
      <c r="AD17" s="1814"/>
      <c r="AE17" s="1815"/>
      <c r="AF17" s="255"/>
      <c r="AG17" s="307"/>
      <c r="AH17" s="308"/>
      <c r="AI17" s="1816"/>
      <c r="AJ17" s="308"/>
      <c r="AK17" s="1817"/>
      <c r="AL17" s="1818"/>
    </row>
    <row r="18" spans="1:38" ht="15.75">
      <c r="A18" s="218"/>
      <c r="B18" s="1541" t="s">
        <v>1253</v>
      </c>
      <c r="C18" s="218"/>
      <c r="D18" s="296"/>
      <c r="E18" s="1813"/>
      <c r="F18" s="307"/>
      <c r="G18" s="1813"/>
      <c r="H18" s="307"/>
      <c r="I18" s="1813"/>
      <c r="J18" s="307"/>
      <c r="K18" s="1813"/>
      <c r="L18" s="254"/>
      <c r="M18" s="254"/>
      <c r="N18" s="254"/>
      <c r="O18" s="493"/>
      <c r="P18" s="254"/>
      <c r="Q18" s="493"/>
      <c r="R18" s="254"/>
      <c r="S18" s="493"/>
      <c r="T18" s="254"/>
      <c r="U18" s="493"/>
      <c r="V18" s="254"/>
      <c r="W18" s="493"/>
      <c r="X18" s="254"/>
      <c r="Y18" s="493"/>
      <c r="Z18" s="254"/>
      <c r="AA18" s="1813"/>
      <c r="AB18" s="307"/>
      <c r="AC18" s="1145"/>
      <c r="AD18" s="1814"/>
      <c r="AE18" s="1819"/>
      <c r="AF18" s="255"/>
      <c r="AG18" s="307"/>
      <c r="AH18" s="308"/>
      <c r="AI18" s="1816"/>
      <c r="AJ18" s="308"/>
      <c r="AK18" s="616"/>
      <c r="AL18" s="45"/>
    </row>
    <row r="19" spans="1:38" s="1708" customFormat="1">
      <c r="A19" s="1710"/>
      <c r="B19" s="1541" t="s">
        <v>1162</v>
      </c>
      <c r="C19" s="1710"/>
      <c r="D19" s="1710"/>
      <c r="E19" s="2515">
        <f>$AD19</f>
        <v>0</v>
      </c>
      <c r="F19" s="1544"/>
      <c r="G19" s="2515"/>
      <c r="H19" s="1544"/>
      <c r="I19" s="2515"/>
      <c r="J19" s="1544"/>
      <c r="K19" s="2515"/>
      <c r="L19" s="1544"/>
      <c r="M19" s="2515"/>
      <c r="N19" s="1544"/>
      <c r="O19" s="2515"/>
      <c r="P19" s="1544"/>
      <c r="Q19" s="2515"/>
      <c r="R19" s="1544"/>
      <c r="S19" s="2515"/>
      <c r="T19" s="2293"/>
      <c r="U19" s="2515"/>
      <c r="V19" s="1544"/>
      <c r="W19" s="2515"/>
      <c r="X19" s="1544"/>
      <c r="Y19" s="2515"/>
      <c r="Z19" s="1544"/>
      <c r="AA19" s="2515"/>
      <c r="AB19" s="1544"/>
      <c r="AC19" s="2294"/>
      <c r="AD19" s="2515">
        <v>0</v>
      </c>
      <c r="AE19" s="2841"/>
      <c r="AF19" s="1740"/>
      <c r="AG19" s="2515">
        <v>0</v>
      </c>
      <c r="AH19" s="1206"/>
      <c r="AI19" s="3205"/>
      <c r="AJ19" s="1206">
        <f>ROUND(AD19-AG19,1)</f>
        <v>0</v>
      </c>
      <c r="AK19" s="2842"/>
      <c r="AL19" s="2843">
        <f>ROUND(IF(AG19=0,0,AJ19/ABS(AG19)),3)</f>
        <v>0</v>
      </c>
    </row>
    <row r="20" spans="1:38" s="1708" customFormat="1" ht="15.75">
      <c r="A20" s="1710"/>
      <c r="B20" s="1541" t="s">
        <v>1254</v>
      </c>
      <c r="C20" s="1710"/>
      <c r="D20" s="1710"/>
      <c r="E20" s="2515" t="s">
        <v>15</v>
      </c>
      <c r="F20" s="1544"/>
      <c r="G20" s="2515"/>
      <c r="H20" s="1544"/>
      <c r="I20" s="2515"/>
      <c r="J20" s="1544"/>
      <c r="K20" s="2515"/>
      <c r="L20" s="1544"/>
      <c r="M20" s="2515"/>
      <c r="N20" s="1544"/>
      <c r="O20" s="2515"/>
      <c r="P20" s="1544"/>
      <c r="Q20" s="2515"/>
      <c r="R20" s="1544"/>
      <c r="S20" s="2515"/>
      <c r="T20" s="1544"/>
      <c r="U20" s="2515"/>
      <c r="V20" s="1544"/>
      <c r="W20" s="2515"/>
      <c r="X20" s="1544"/>
      <c r="Y20" s="2515"/>
      <c r="Z20" s="1544"/>
      <c r="AA20" s="2515"/>
      <c r="AB20" s="1544"/>
      <c r="AC20" s="2294"/>
      <c r="AD20" s="1544"/>
      <c r="AE20" s="2841"/>
      <c r="AF20" s="1740"/>
      <c r="AG20" s="1544"/>
      <c r="AH20" s="1206"/>
      <c r="AI20" s="1816"/>
      <c r="AJ20" s="1206" t="s">
        <v>15</v>
      </c>
      <c r="AK20" s="2842"/>
      <c r="AL20" s="2844" t="s">
        <v>15</v>
      </c>
    </row>
    <row r="21" spans="1:38" s="1708" customFormat="1" ht="15.75">
      <c r="A21" s="1710"/>
      <c r="B21" s="1541" t="s">
        <v>1163</v>
      </c>
      <c r="C21" s="1710"/>
      <c r="D21" s="1710"/>
      <c r="E21" s="2515">
        <f t="shared" ref="E21:E41" si="0">$AD21</f>
        <v>0</v>
      </c>
      <c r="F21" s="1544"/>
      <c r="G21" s="2515"/>
      <c r="H21" s="1544"/>
      <c r="I21" s="2515"/>
      <c r="J21" s="1544"/>
      <c r="K21" s="2515"/>
      <c r="L21" s="1544"/>
      <c r="M21" s="2515"/>
      <c r="N21" s="1544"/>
      <c r="O21" s="2515"/>
      <c r="P21" s="1544"/>
      <c r="Q21" s="2515"/>
      <c r="R21" s="1544"/>
      <c r="S21" s="2515"/>
      <c r="T21" s="2515"/>
      <c r="U21" s="2515"/>
      <c r="V21" s="1544"/>
      <c r="W21" s="2515"/>
      <c r="X21" s="1544"/>
      <c r="Y21" s="2515"/>
      <c r="Z21" s="1544"/>
      <c r="AA21" s="2515"/>
      <c r="AB21" s="1544"/>
      <c r="AC21" s="2294"/>
      <c r="AD21" s="2515">
        <v>0</v>
      </c>
      <c r="AE21" s="2841"/>
      <c r="AF21" s="1740"/>
      <c r="AG21" s="2515">
        <v>0</v>
      </c>
      <c r="AH21" s="1206"/>
      <c r="AI21" s="1816"/>
      <c r="AJ21" s="1206">
        <f t="shared" ref="AJ21:AJ41" si="1">ROUND(AD21-AG21,1)</f>
        <v>0</v>
      </c>
      <c r="AK21" s="2842"/>
      <c r="AL21" s="2844">
        <f>ROUND(IF(AG21=0,0,AJ21/ABS(AG21)),3)</f>
        <v>0</v>
      </c>
    </row>
    <row r="22" spans="1:38" s="1708" customFormat="1" ht="15.75">
      <c r="A22" s="1710"/>
      <c r="B22" s="1541" t="s">
        <v>1259</v>
      </c>
      <c r="C22" s="1710"/>
      <c r="D22" s="1710"/>
      <c r="E22" s="2515" t="s">
        <v>15</v>
      </c>
      <c r="F22" s="1544"/>
      <c r="G22" s="2515"/>
      <c r="H22" s="1544"/>
      <c r="I22" s="2515"/>
      <c r="J22" s="1544"/>
      <c r="K22" s="2515"/>
      <c r="L22" s="1544"/>
      <c r="M22" s="2515"/>
      <c r="N22" s="1544"/>
      <c r="O22" s="2515"/>
      <c r="P22" s="1544"/>
      <c r="Q22" s="2515"/>
      <c r="R22" s="1544"/>
      <c r="S22" s="2515"/>
      <c r="T22" s="1544"/>
      <c r="U22" s="2515"/>
      <c r="V22" s="1544"/>
      <c r="W22" s="2515"/>
      <c r="X22" s="1544"/>
      <c r="Y22" s="2515"/>
      <c r="Z22" s="1544"/>
      <c r="AA22" s="2515"/>
      <c r="AB22" s="1544"/>
      <c r="AC22" s="2294"/>
      <c r="AD22" s="1544"/>
      <c r="AE22" s="2841"/>
      <c r="AF22" s="1740"/>
      <c r="AG22" s="1544"/>
      <c r="AH22" s="1206"/>
      <c r="AI22" s="1816"/>
      <c r="AJ22" s="1206" t="s">
        <v>15</v>
      </c>
      <c r="AK22" s="2842"/>
      <c r="AL22" s="2844" t="s">
        <v>15</v>
      </c>
    </row>
    <row r="23" spans="1:38" s="1708" customFormat="1" ht="15.75">
      <c r="A23" s="1710"/>
      <c r="B23" s="1541" t="s">
        <v>1167</v>
      </c>
      <c r="C23" s="1710"/>
      <c r="D23" s="1710"/>
      <c r="E23" s="2515">
        <f t="shared" si="0"/>
        <v>0</v>
      </c>
      <c r="F23" s="1544"/>
      <c r="G23" s="2515"/>
      <c r="H23" s="1544"/>
      <c r="I23" s="2515"/>
      <c r="J23" s="1544"/>
      <c r="K23" s="2515"/>
      <c r="L23" s="1544"/>
      <c r="M23" s="2515"/>
      <c r="N23" s="1544"/>
      <c r="O23" s="2515"/>
      <c r="P23" s="1544"/>
      <c r="Q23" s="2515"/>
      <c r="R23" s="1544"/>
      <c r="S23" s="2515"/>
      <c r="T23" s="2515"/>
      <c r="U23" s="2515"/>
      <c r="V23" s="1544"/>
      <c r="W23" s="2515"/>
      <c r="X23" s="1544"/>
      <c r="Y23" s="2515"/>
      <c r="Z23" s="1544"/>
      <c r="AA23" s="2515"/>
      <c r="AB23" s="1544"/>
      <c r="AC23" s="2294"/>
      <c r="AD23" s="2515">
        <v>0</v>
      </c>
      <c r="AE23" s="2841"/>
      <c r="AF23" s="1740"/>
      <c r="AG23" s="2515">
        <v>0</v>
      </c>
      <c r="AH23" s="1206"/>
      <c r="AI23" s="1816"/>
      <c r="AJ23" s="1206">
        <f t="shared" si="1"/>
        <v>0</v>
      </c>
      <c r="AK23" s="2842"/>
      <c r="AL23" s="2844">
        <f t="shared" ref="AL23:AL28" si="2">ROUND(IF(AG23=0,0,AJ23/ABS(AG23)),3)</f>
        <v>0</v>
      </c>
    </row>
    <row r="24" spans="1:38" s="1708" customFormat="1" ht="15.75">
      <c r="A24" s="1710"/>
      <c r="B24" s="1541" t="s">
        <v>1324</v>
      </c>
      <c r="C24" s="1710"/>
      <c r="D24" s="1710"/>
      <c r="E24" s="2515">
        <f t="shared" si="0"/>
        <v>0</v>
      </c>
      <c r="F24" s="1544"/>
      <c r="G24" s="2515"/>
      <c r="H24" s="1544"/>
      <c r="I24" s="2515"/>
      <c r="J24" s="1544"/>
      <c r="K24" s="2515"/>
      <c r="L24" s="1544"/>
      <c r="M24" s="2515"/>
      <c r="N24" s="1544"/>
      <c r="O24" s="2515"/>
      <c r="P24" s="1544"/>
      <c r="Q24" s="2515"/>
      <c r="R24" s="1544"/>
      <c r="S24" s="2515"/>
      <c r="T24" s="2515"/>
      <c r="U24" s="2515"/>
      <c r="V24" s="1544"/>
      <c r="W24" s="2515"/>
      <c r="X24" s="1544"/>
      <c r="Y24" s="2515"/>
      <c r="Z24" s="1544"/>
      <c r="AA24" s="2515"/>
      <c r="AB24" s="1544"/>
      <c r="AC24" s="2294"/>
      <c r="AD24" s="2515">
        <v>0</v>
      </c>
      <c r="AE24" s="2841"/>
      <c r="AF24" s="1740"/>
      <c r="AG24" s="2515">
        <v>0</v>
      </c>
      <c r="AH24" s="1206"/>
      <c r="AI24" s="1816"/>
      <c r="AJ24" s="1206">
        <f>ROUND(AD24-AG24,1)</f>
        <v>0</v>
      </c>
      <c r="AK24" s="2842"/>
      <c r="AL24" s="2844">
        <f t="shared" si="2"/>
        <v>0</v>
      </c>
    </row>
    <row r="25" spans="1:38" s="1708" customFormat="1" ht="15.75">
      <c r="A25" s="1710"/>
      <c r="B25" s="1541" t="s">
        <v>1170</v>
      </c>
      <c r="C25" s="1710"/>
      <c r="D25" s="1710"/>
      <c r="E25" s="2515">
        <f t="shared" si="0"/>
        <v>0</v>
      </c>
      <c r="F25" s="1544"/>
      <c r="G25" s="2515"/>
      <c r="H25" s="1544"/>
      <c r="I25" s="2515"/>
      <c r="J25" s="1544"/>
      <c r="K25" s="2515"/>
      <c r="L25" s="1544"/>
      <c r="M25" s="2515"/>
      <c r="N25" s="1544"/>
      <c r="O25" s="2515"/>
      <c r="P25" s="1544"/>
      <c r="Q25" s="2515"/>
      <c r="R25" s="1544"/>
      <c r="S25" s="2515"/>
      <c r="T25" s="2515"/>
      <c r="U25" s="2515"/>
      <c r="V25" s="1544"/>
      <c r="W25" s="2515"/>
      <c r="X25" s="1544"/>
      <c r="Y25" s="2515"/>
      <c r="Z25" s="1544"/>
      <c r="AA25" s="2515"/>
      <c r="AB25" s="1544"/>
      <c r="AC25" s="2294"/>
      <c r="AD25" s="2515">
        <v>0</v>
      </c>
      <c r="AE25" s="2841"/>
      <c r="AF25" s="1740"/>
      <c r="AG25" s="2515">
        <v>0</v>
      </c>
      <c r="AH25" s="1206"/>
      <c r="AI25" s="1816"/>
      <c r="AJ25" s="1206">
        <f t="shared" si="1"/>
        <v>0</v>
      </c>
      <c r="AK25" s="2842"/>
      <c r="AL25" s="2844">
        <f t="shared" si="2"/>
        <v>0</v>
      </c>
    </row>
    <row r="26" spans="1:38" s="1708" customFormat="1" ht="15.75">
      <c r="A26" s="1710"/>
      <c r="B26" s="1541" t="s">
        <v>1171</v>
      </c>
      <c r="C26" s="1710"/>
      <c r="D26" s="1710"/>
      <c r="E26" s="2515">
        <f t="shared" si="0"/>
        <v>0</v>
      </c>
      <c r="F26" s="1544"/>
      <c r="G26" s="2515"/>
      <c r="H26" s="1544"/>
      <c r="I26" s="2515"/>
      <c r="J26" s="1544"/>
      <c r="K26" s="2515"/>
      <c r="L26" s="1544"/>
      <c r="M26" s="2515"/>
      <c r="N26" s="1544"/>
      <c r="O26" s="2515"/>
      <c r="P26" s="1544"/>
      <c r="Q26" s="2515"/>
      <c r="R26" s="1544"/>
      <c r="S26" s="2515"/>
      <c r="T26" s="2515"/>
      <c r="U26" s="2515"/>
      <c r="V26" s="1544"/>
      <c r="W26" s="2515"/>
      <c r="X26" s="1544"/>
      <c r="Y26" s="2515"/>
      <c r="Z26" s="1544"/>
      <c r="AA26" s="2515"/>
      <c r="AB26" s="1544"/>
      <c r="AC26" s="2294"/>
      <c r="AD26" s="2515">
        <v>0</v>
      </c>
      <c r="AE26" s="2841"/>
      <c r="AF26" s="1740"/>
      <c r="AG26" s="2515">
        <v>0</v>
      </c>
      <c r="AH26" s="1206"/>
      <c r="AI26" s="1816"/>
      <c r="AJ26" s="1206">
        <f t="shared" si="1"/>
        <v>0</v>
      </c>
      <c r="AK26" s="2842"/>
      <c r="AL26" s="2844">
        <f t="shared" si="2"/>
        <v>0</v>
      </c>
    </row>
    <row r="27" spans="1:38" s="1708" customFormat="1" ht="15.75">
      <c r="A27" s="1710"/>
      <c r="B27" s="1541" t="s">
        <v>1129</v>
      </c>
      <c r="C27" s="1710"/>
      <c r="D27" s="1710"/>
      <c r="E27" s="2515">
        <f t="shared" si="0"/>
        <v>0</v>
      </c>
      <c r="F27" s="1544"/>
      <c r="G27" s="2515"/>
      <c r="H27" s="1544"/>
      <c r="I27" s="2515"/>
      <c r="J27" s="1544"/>
      <c r="K27" s="2515"/>
      <c r="L27" s="1544"/>
      <c r="M27" s="2515"/>
      <c r="N27" s="1544"/>
      <c r="O27" s="2515"/>
      <c r="P27" s="1544"/>
      <c r="Q27" s="2515"/>
      <c r="R27" s="1544"/>
      <c r="S27" s="2515"/>
      <c r="T27" s="2515"/>
      <c r="U27" s="2515"/>
      <c r="V27" s="1544"/>
      <c r="W27" s="2515"/>
      <c r="X27" s="1544"/>
      <c r="Y27" s="2515"/>
      <c r="Z27" s="1544"/>
      <c r="AA27" s="2515"/>
      <c r="AB27" s="1544"/>
      <c r="AC27" s="2294"/>
      <c r="AD27" s="2515">
        <v>0</v>
      </c>
      <c r="AE27" s="2841"/>
      <c r="AF27" s="1740"/>
      <c r="AG27" s="2515">
        <v>0</v>
      </c>
      <c r="AH27" s="1206"/>
      <c r="AI27" s="1816"/>
      <c r="AJ27" s="1206">
        <f t="shared" si="1"/>
        <v>0</v>
      </c>
      <c r="AK27" s="2842"/>
      <c r="AL27" s="2844">
        <f t="shared" si="2"/>
        <v>0</v>
      </c>
    </row>
    <row r="28" spans="1:38" s="1708" customFormat="1" ht="15.75">
      <c r="A28" s="1710"/>
      <c r="B28" s="1541" t="s">
        <v>1130</v>
      </c>
      <c r="C28" s="1710"/>
      <c r="D28" s="1710"/>
      <c r="E28" s="2515">
        <f t="shared" si="0"/>
        <v>0</v>
      </c>
      <c r="F28" s="1544"/>
      <c r="G28" s="2515"/>
      <c r="H28" s="1544"/>
      <c r="I28" s="2515"/>
      <c r="J28" s="1544"/>
      <c r="K28" s="2515"/>
      <c r="L28" s="1544"/>
      <c r="M28" s="2515"/>
      <c r="N28" s="1544"/>
      <c r="O28" s="2515"/>
      <c r="P28" s="1544"/>
      <c r="Q28" s="2515"/>
      <c r="R28" s="1544"/>
      <c r="S28" s="2515"/>
      <c r="T28" s="2515"/>
      <c r="U28" s="2515"/>
      <c r="V28" s="1544"/>
      <c r="W28" s="2515"/>
      <c r="X28" s="1544"/>
      <c r="Y28" s="2515"/>
      <c r="Z28" s="1544"/>
      <c r="AA28" s="2515"/>
      <c r="AB28" s="1544"/>
      <c r="AC28" s="2294"/>
      <c r="AD28" s="2515">
        <v>0</v>
      </c>
      <c r="AE28" s="2841"/>
      <c r="AF28" s="1740"/>
      <c r="AG28" s="2515">
        <v>0</v>
      </c>
      <c r="AH28" s="1206"/>
      <c r="AI28" s="1816"/>
      <c r="AJ28" s="1206">
        <f t="shared" si="1"/>
        <v>0</v>
      </c>
      <c r="AK28" s="2842"/>
      <c r="AL28" s="2844">
        <f t="shared" si="2"/>
        <v>0</v>
      </c>
    </row>
    <row r="29" spans="1:38" s="1708" customFormat="1" ht="15.75">
      <c r="A29" s="1710"/>
      <c r="B29" s="1541" t="s">
        <v>1257</v>
      </c>
      <c r="C29" s="1710"/>
      <c r="D29" s="1710"/>
      <c r="E29" s="2515" t="s">
        <v>15</v>
      </c>
      <c r="F29" s="1544"/>
      <c r="G29" s="2515"/>
      <c r="H29" s="1544"/>
      <c r="I29" s="2515"/>
      <c r="J29" s="1544"/>
      <c r="K29" s="2515"/>
      <c r="L29" s="1544"/>
      <c r="M29" s="2515"/>
      <c r="N29" s="1544"/>
      <c r="O29" s="2515"/>
      <c r="P29" s="1544"/>
      <c r="Q29" s="2515"/>
      <c r="R29" s="1544"/>
      <c r="S29" s="2515"/>
      <c r="T29" s="1544"/>
      <c r="U29" s="2515"/>
      <c r="V29" s="1544"/>
      <c r="W29" s="2515"/>
      <c r="X29" s="1544"/>
      <c r="Y29" s="2515"/>
      <c r="Z29" s="1544"/>
      <c r="AA29" s="2515"/>
      <c r="AB29" s="1544"/>
      <c r="AC29" s="2294"/>
      <c r="AD29" s="1544"/>
      <c r="AE29" s="2841"/>
      <c r="AF29" s="1740"/>
      <c r="AG29" s="1544"/>
      <c r="AH29" s="1206"/>
      <c r="AI29" s="1816"/>
      <c r="AJ29" s="1206" t="s">
        <v>15</v>
      </c>
      <c r="AK29" s="2842"/>
      <c r="AL29" s="2844" t="s">
        <v>15</v>
      </c>
    </row>
    <row r="30" spans="1:38" s="1708" customFormat="1" ht="15.75">
      <c r="A30" s="1710"/>
      <c r="B30" s="1541" t="s">
        <v>1175</v>
      </c>
      <c r="C30" s="1710"/>
      <c r="D30" s="1710"/>
      <c r="E30" s="2515">
        <f t="shared" si="0"/>
        <v>0</v>
      </c>
      <c r="F30" s="1544"/>
      <c r="G30" s="2515"/>
      <c r="H30" s="1544"/>
      <c r="I30" s="2515"/>
      <c r="J30" s="1544"/>
      <c r="K30" s="2515"/>
      <c r="L30" s="1544"/>
      <c r="M30" s="2515"/>
      <c r="N30" s="1544"/>
      <c r="O30" s="2515"/>
      <c r="P30" s="1544"/>
      <c r="Q30" s="2515"/>
      <c r="R30" s="1544"/>
      <c r="S30" s="2515"/>
      <c r="T30" s="2515"/>
      <c r="U30" s="2515"/>
      <c r="V30" s="1544"/>
      <c r="W30" s="2515"/>
      <c r="X30" s="1544"/>
      <c r="Y30" s="2515"/>
      <c r="Z30" s="1544"/>
      <c r="AA30" s="2515"/>
      <c r="AB30" s="1544"/>
      <c r="AC30" s="2294"/>
      <c r="AD30" s="2515">
        <v>0</v>
      </c>
      <c r="AE30" s="2841"/>
      <c r="AF30" s="1740"/>
      <c r="AG30" s="2515">
        <v>0</v>
      </c>
      <c r="AH30" s="1206"/>
      <c r="AI30" s="1816"/>
      <c r="AJ30" s="1206">
        <f t="shared" si="1"/>
        <v>0</v>
      </c>
      <c r="AK30" s="2842"/>
      <c r="AL30" s="2844">
        <f>ROUND(IF(AG30=0,0,AJ30/ABS(AG30)),3)</f>
        <v>0</v>
      </c>
    </row>
    <row r="31" spans="1:38" s="1708" customFormat="1" ht="15.75">
      <c r="A31" s="1710"/>
      <c r="B31" s="1541" t="s">
        <v>1177</v>
      </c>
      <c r="C31" s="1710"/>
      <c r="D31" s="1710"/>
      <c r="E31" s="2515">
        <f t="shared" si="0"/>
        <v>0</v>
      </c>
      <c r="F31" s="2515">
        <v>0</v>
      </c>
      <c r="G31" s="2515"/>
      <c r="H31" s="2515"/>
      <c r="I31" s="2515"/>
      <c r="J31" s="2515"/>
      <c r="K31" s="2515"/>
      <c r="L31" s="1544"/>
      <c r="M31" s="2515"/>
      <c r="N31" s="1544"/>
      <c r="O31" s="2515"/>
      <c r="P31" s="1544"/>
      <c r="Q31" s="2515"/>
      <c r="R31" s="1544"/>
      <c r="S31" s="2515"/>
      <c r="T31" s="2515"/>
      <c r="U31" s="2515"/>
      <c r="V31" s="1544"/>
      <c r="W31" s="2515"/>
      <c r="X31" s="1544"/>
      <c r="Y31" s="2515"/>
      <c r="Z31" s="1544"/>
      <c r="AA31" s="2515"/>
      <c r="AB31" s="1544"/>
      <c r="AC31" s="2294"/>
      <c r="AD31" s="2515">
        <v>0</v>
      </c>
      <c r="AE31" s="2841"/>
      <c r="AF31" s="1740"/>
      <c r="AG31" s="2515">
        <v>0</v>
      </c>
      <c r="AH31" s="1206"/>
      <c r="AI31" s="1816"/>
      <c r="AJ31" s="1206">
        <f t="shared" si="1"/>
        <v>0</v>
      </c>
      <c r="AK31" s="2842"/>
      <c r="AL31" s="2844">
        <f>ROUND(IF(AG31=0,0,AJ31/ABS(AG31)),3)</f>
        <v>0</v>
      </c>
    </row>
    <row r="32" spans="1:38" s="1708" customFormat="1" ht="15.75">
      <c r="A32" s="1710"/>
      <c r="B32" s="1541" t="s">
        <v>1178</v>
      </c>
      <c r="C32" s="1710"/>
      <c r="D32" s="1710"/>
      <c r="E32" s="2515">
        <f t="shared" si="0"/>
        <v>0</v>
      </c>
      <c r="F32" s="1544"/>
      <c r="G32" s="2515"/>
      <c r="H32" s="1544"/>
      <c r="I32" s="2515"/>
      <c r="J32" s="1544"/>
      <c r="K32" s="2515"/>
      <c r="L32" s="1544"/>
      <c r="M32" s="2515"/>
      <c r="N32" s="1544"/>
      <c r="O32" s="2515"/>
      <c r="P32" s="1544"/>
      <c r="Q32" s="2515"/>
      <c r="R32" s="1544"/>
      <c r="S32" s="2515"/>
      <c r="T32" s="2515"/>
      <c r="U32" s="2515"/>
      <c r="V32" s="1544"/>
      <c r="W32" s="2515"/>
      <c r="X32" s="1544"/>
      <c r="Y32" s="2515"/>
      <c r="Z32" s="1544"/>
      <c r="AA32" s="2515"/>
      <c r="AB32" s="1544"/>
      <c r="AC32" s="2294"/>
      <c r="AD32" s="2515">
        <v>0</v>
      </c>
      <c r="AE32" s="2841"/>
      <c r="AF32" s="1740"/>
      <c r="AG32" s="2515">
        <v>0</v>
      </c>
      <c r="AH32" s="1206"/>
      <c r="AI32" s="1816"/>
      <c r="AJ32" s="1206">
        <f>ROUND(AD32-AG32,1)</f>
        <v>0</v>
      </c>
      <c r="AK32" s="2842"/>
      <c r="AL32" s="2844">
        <f>ROUND(IF(AG32=0,0,AJ32/ABS(AG32)),3)</f>
        <v>0</v>
      </c>
    </row>
    <row r="33" spans="1:39" s="1828" customFormat="1" ht="15.75">
      <c r="A33" s="296"/>
      <c r="B33" s="1541" t="s">
        <v>1148</v>
      </c>
      <c r="C33" s="296"/>
      <c r="D33" s="296"/>
      <c r="E33" s="2515">
        <f t="shared" si="0"/>
        <v>0</v>
      </c>
      <c r="F33" s="1544"/>
      <c r="G33" s="2515"/>
      <c r="H33" s="1544"/>
      <c r="I33" s="2515"/>
      <c r="J33" s="1544"/>
      <c r="K33" s="2515"/>
      <c r="L33" s="1544"/>
      <c r="M33" s="2515"/>
      <c r="N33" s="1544"/>
      <c r="O33" s="2515"/>
      <c r="P33" s="1544"/>
      <c r="Q33" s="2515"/>
      <c r="R33" s="1544"/>
      <c r="S33" s="2515"/>
      <c r="T33" s="2515"/>
      <c r="U33" s="2515"/>
      <c r="V33" s="1544"/>
      <c r="W33" s="2515"/>
      <c r="X33" s="1544"/>
      <c r="Y33" s="2515"/>
      <c r="Z33" s="1544"/>
      <c r="AA33" s="2515"/>
      <c r="AB33" s="1544"/>
      <c r="AC33" s="2294"/>
      <c r="AD33" s="2515">
        <v>0</v>
      </c>
      <c r="AE33" s="2841"/>
      <c r="AF33" s="1740"/>
      <c r="AG33" s="2515">
        <v>0</v>
      </c>
      <c r="AH33" s="308"/>
      <c r="AI33" s="1816"/>
      <c r="AJ33" s="308">
        <f t="shared" si="1"/>
        <v>0</v>
      </c>
      <c r="AK33" s="1817"/>
      <c r="AL33" s="2846">
        <f>ROUND(IF(AG33=0,0,AJ33/ABS(AG33)),3)</f>
        <v>0</v>
      </c>
    </row>
    <row r="34" spans="1:39" s="1828" customFormat="1" ht="15.75">
      <c r="A34" s="296"/>
      <c r="B34" s="1541" t="s">
        <v>1149</v>
      </c>
      <c r="C34" s="296"/>
      <c r="D34" s="296"/>
      <c r="E34" s="2515">
        <f t="shared" si="0"/>
        <v>0.1</v>
      </c>
      <c r="F34" s="1544"/>
      <c r="G34" s="2515"/>
      <c r="H34" s="1544"/>
      <c r="I34" s="2515"/>
      <c r="J34" s="1544"/>
      <c r="K34" s="2515"/>
      <c r="L34" s="1544"/>
      <c r="M34" s="2515"/>
      <c r="N34" s="1544"/>
      <c r="O34" s="2515"/>
      <c r="P34" s="1544"/>
      <c r="Q34" s="2515"/>
      <c r="R34" s="1544"/>
      <c r="S34" s="2515"/>
      <c r="T34" s="2515"/>
      <c r="U34" s="2515"/>
      <c r="V34" s="1544"/>
      <c r="W34" s="2515"/>
      <c r="X34" s="1544"/>
      <c r="Y34" s="2515"/>
      <c r="Z34" s="1544"/>
      <c r="AA34" s="2515"/>
      <c r="AB34" s="1544"/>
      <c r="AC34" s="2294"/>
      <c r="AD34" s="2515">
        <v>0.1</v>
      </c>
      <c r="AE34" s="2841"/>
      <c r="AF34" s="1740"/>
      <c r="AG34" s="2515">
        <v>0</v>
      </c>
      <c r="AH34" s="308"/>
      <c r="AI34" s="1816"/>
      <c r="AJ34" s="308">
        <f t="shared" si="1"/>
        <v>0.1</v>
      </c>
      <c r="AK34" s="1817"/>
      <c r="AL34" s="2846">
        <f>ROUND(IF(AG34=0,1,AJ34/ABS(AG34)),3)</f>
        <v>1</v>
      </c>
    </row>
    <row r="35" spans="1:39" s="1828" customFormat="1" ht="15.75">
      <c r="A35" s="296"/>
      <c r="B35" s="1541" t="s">
        <v>1258</v>
      </c>
      <c r="C35" s="296"/>
      <c r="D35" s="296"/>
      <c r="E35" s="2515" t="s">
        <v>15</v>
      </c>
      <c r="F35" s="1544"/>
      <c r="G35" s="2515"/>
      <c r="H35" s="1544"/>
      <c r="I35" s="2515"/>
      <c r="J35" s="1544"/>
      <c r="K35" s="2515"/>
      <c r="L35" s="307"/>
      <c r="M35" s="2515"/>
      <c r="N35" s="307"/>
      <c r="O35" s="2515"/>
      <c r="P35" s="307"/>
      <c r="Q35" s="2515"/>
      <c r="R35" s="307"/>
      <c r="S35" s="2515"/>
      <c r="T35" s="307"/>
      <c r="U35" s="2515"/>
      <c r="V35" s="307"/>
      <c r="W35" s="2515"/>
      <c r="X35" s="307"/>
      <c r="Y35" s="2515"/>
      <c r="Z35" s="307"/>
      <c r="AA35" s="2515"/>
      <c r="AB35" s="307"/>
      <c r="AC35" s="1145"/>
      <c r="AD35" s="307"/>
      <c r="AE35" s="1819"/>
      <c r="AF35" s="255"/>
      <c r="AG35" s="307"/>
      <c r="AH35" s="308"/>
      <c r="AI35" s="1816"/>
      <c r="AJ35" s="1206" t="s">
        <v>15</v>
      </c>
      <c r="AK35" s="1817"/>
      <c r="AL35" s="2844" t="s">
        <v>15</v>
      </c>
    </row>
    <row r="36" spans="1:39" s="1828" customFormat="1" ht="15.75">
      <c r="A36" s="296"/>
      <c r="B36" s="1541" t="s">
        <v>1179</v>
      </c>
      <c r="C36" s="296"/>
      <c r="D36" s="296"/>
      <c r="E36" s="2515">
        <f t="shared" si="0"/>
        <v>0</v>
      </c>
      <c r="F36" s="1544"/>
      <c r="G36" s="2515"/>
      <c r="H36" s="1544"/>
      <c r="I36" s="2515"/>
      <c r="J36" s="1544"/>
      <c r="K36" s="2515"/>
      <c r="L36" s="1544"/>
      <c r="M36" s="2515"/>
      <c r="N36" s="1544"/>
      <c r="O36" s="2515"/>
      <c r="P36" s="1544"/>
      <c r="Q36" s="2515"/>
      <c r="R36" s="1544"/>
      <c r="S36" s="2515"/>
      <c r="T36" s="2515"/>
      <c r="U36" s="2515"/>
      <c r="V36" s="1544"/>
      <c r="W36" s="2515"/>
      <c r="X36" s="1544"/>
      <c r="Y36" s="2515"/>
      <c r="Z36" s="1544"/>
      <c r="AA36" s="2515"/>
      <c r="AB36" s="1544"/>
      <c r="AC36" s="2294"/>
      <c r="AD36" s="2515">
        <v>0</v>
      </c>
      <c r="AE36" s="2841"/>
      <c r="AF36" s="1740"/>
      <c r="AG36" s="2515">
        <v>0</v>
      </c>
      <c r="AH36" s="308"/>
      <c r="AI36" s="1816"/>
      <c r="AJ36" s="308">
        <f t="shared" si="1"/>
        <v>0</v>
      </c>
      <c r="AK36" s="1817"/>
      <c r="AL36" s="2846">
        <f>ROUND(IF(AG36=0,0,AJ36/ABS(AG36)),3)</f>
        <v>0</v>
      </c>
    </row>
    <row r="37" spans="1:39" s="1828" customFormat="1" ht="15.75">
      <c r="A37" s="296"/>
      <c r="B37" s="1541" t="s">
        <v>1181</v>
      </c>
      <c r="C37" s="296"/>
      <c r="D37" s="296"/>
      <c r="E37" s="2515">
        <f t="shared" si="0"/>
        <v>0</v>
      </c>
      <c r="F37" s="1544"/>
      <c r="G37" s="2515"/>
      <c r="H37" s="1544"/>
      <c r="I37" s="2515"/>
      <c r="J37" s="1544"/>
      <c r="K37" s="2515"/>
      <c r="L37" s="1544"/>
      <c r="M37" s="2515"/>
      <c r="N37" s="1544"/>
      <c r="O37" s="2515"/>
      <c r="P37" s="1544"/>
      <c r="Q37" s="2515"/>
      <c r="R37" s="1544"/>
      <c r="S37" s="2515"/>
      <c r="T37" s="2515"/>
      <c r="U37" s="2515"/>
      <c r="V37" s="1544"/>
      <c r="W37" s="2515"/>
      <c r="X37" s="1544"/>
      <c r="Y37" s="2515"/>
      <c r="Z37" s="1544"/>
      <c r="AA37" s="2515"/>
      <c r="AB37" s="1544"/>
      <c r="AC37" s="2294"/>
      <c r="AD37" s="2515">
        <v>0</v>
      </c>
      <c r="AE37" s="2841"/>
      <c r="AF37" s="1740"/>
      <c r="AG37" s="2515">
        <v>0</v>
      </c>
      <c r="AH37" s="308"/>
      <c r="AI37" s="1816"/>
      <c r="AJ37" s="308">
        <f t="shared" si="1"/>
        <v>0</v>
      </c>
      <c r="AK37" s="1817"/>
      <c r="AL37" s="2846">
        <f>ROUND(IF(AG37=0,0,AJ37/ABS(AG37)),3)</f>
        <v>0</v>
      </c>
    </row>
    <row r="38" spans="1:39" s="1828" customFormat="1" ht="15.75">
      <c r="A38" s="296"/>
      <c r="B38" s="1541" t="s">
        <v>1182</v>
      </c>
      <c r="C38" s="296"/>
      <c r="D38" s="296"/>
      <c r="E38" s="2515">
        <f t="shared" si="0"/>
        <v>0</v>
      </c>
      <c r="F38" s="1544"/>
      <c r="G38" s="2515"/>
      <c r="H38" s="1544"/>
      <c r="I38" s="2515"/>
      <c r="J38" s="1544"/>
      <c r="K38" s="2515"/>
      <c r="L38" s="1544"/>
      <c r="M38" s="2515"/>
      <c r="N38" s="1544"/>
      <c r="O38" s="2515"/>
      <c r="P38" s="1544"/>
      <c r="Q38" s="2515"/>
      <c r="R38" s="1544"/>
      <c r="S38" s="2515"/>
      <c r="T38" s="2515"/>
      <c r="U38" s="2515"/>
      <c r="V38" s="1544"/>
      <c r="W38" s="2515"/>
      <c r="X38" s="1544"/>
      <c r="Y38" s="2515"/>
      <c r="Z38" s="1544"/>
      <c r="AA38" s="2515"/>
      <c r="AB38" s="1544"/>
      <c r="AC38" s="2294"/>
      <c r="AD38" s="2515">
        <v>0</v>
      </c>
      <c r="AE38" s="2841"/>
      <c r="AF38" s="1740"/>
      <c r="AG38" s="2515">
        <v>0</v>
      </c>
      <c r="AH38" s="308"/>
      <c r="AI38" s="1816"/>
      <c r="AJ38" s="308">
        <f t="shared" si="1"/>
        <v>0</v>
      </c>
      <c r="AK38" s="1817"/>
      <c r="AL38" s="2846">
        <f>ROUND(IF(AG38=0,0,AJ38/ABS(AG38)),3)</f>
        <v>0</v>
      </c>
    </row>
    <row r="39" spans="1:39" s="1828" customFormat="1" ht="15.75">
      <c r="A39" s="296"/>
      <c r="B39" s="1541" t="s">
        <v>1185</v>
      </c>
      <c r="C39" s="296"/>
      <c r="D39" s="296"/>
      <c r="E39" s="2515">
        <f t="shared" si="0"/>
        <v>0</v>
      </c>
      <c r="F39" s="1544"/>
      <c r="G39" s="2515"/>
      <c r="H39" s="1544"/>
      <c r="I39" s="2515"/>
      <c r="J39" s="1544"/>
      <c r="K39" s="2515"/>
      <c r="L39" s="1544"/>
      <c r="M39" s="2515"/>
      <c r="N39" s="1544"/>
      <c r="O39" s="2515"/>
      <c r="P39" s="1544"/>
      <c r="Q39" s="2515"/>
      <c r="R39" s="1544"/>
      <c r="S39" s="2515"/>
      <c r="T39" s="2515"/>
      <c r="U39" s="2515"/>
      <c r="V39" s="1544"/>
      <c r="W39" s="2515"/>
      <c r="X39" s="1544"/>
      <c r="Y39" s="2515"/>
      <c r="Z39" s="1544"/>
      <c r="AA39" s="2515"/>
      <c r="AB39" s="1544"/>
      <c r="AC39" s="2294"/>
      <c r="AD39" s="2515">
        <v>0</v>
      </c>
      <c r="AE39" s="2841"/>
      <c r="AF39" s="1740"/>
      <c r="AG39" s="2515">
        <v>0</v>
      </c>
      <c r="AH39" s="308"/>
      <c r="AI39" s="1816"/>
      <c r="AJ39" s="308">
        <f t="shared" si="1"/>
        <v>0</v>
      </c>
      <c r="AK39" s="1817"/>
      <c r="AL39" s="2846">
        <f>ROUND(IF(AG39=0,0,AJ39/ABS(AG39)),3)</f>
        <v>0</v>
      </c>
    </row>
    <row r="40" spans="1:39" s="1828" customFormat="1" ht="15.75">
      <c r="A40" s="296"/>
      <c r="B40" s="1541" t="s">
        <v>1187</v>
      </c>
      <c r="C40" s="296"/>
      <c r="D40" s="296"/>
      <c r="E40" s="2515">
        <f t="shared" si="0"/>
        <v>0</v>
      </c>
      <c r="F40" s="1544"/>
      <c r="G40" s="2515"/>
      <c r="H40" s="1544"/>
      <c r="I40" s="2515"/>
      <c r="J40" s="1544"/>
      <c r="K40" s="2515"/>
      <c r="L40" s="1544"/>
      <c r="M40" s="2515"/>
      <c r="N40" s="1544"/>
      <c r="O40" s="2515"/>
      <c r="P40" s="1544"/>
      <c r="Q40" s="2515"/>
      <c r="R40" s="1544"/>
      <c r="S40" s="2515"/>
      <c r="T40" s="2515"/>
      <c r="U40" s="2515"/>
      <c r="V40" s="1544"/>
      <c r="W40" s="2515"/>
      <c r="X40" s="1544"/>
      <c r="Y40" s="2515"/>
      <c r="Z40" s="1544"/>
      <c r="AA40" s="2515"/>
      <c r="AB40" s="1544"/>
      <c r="AC40" s="2294"/>
      <c r="AD40" s="2515">
        <v>0</v>
      </c>
      <c r="AE40" s="2841"/>
      <c r="AF40" s="1740"/>
      <c r="AG40" s="2515">
        <v>0</v>
      </c>
      <c r="AH40" s="308"/>
      <c r="AI40" s="1816"/>
      <c r="AJ40" s="308">
        <f t="shared" si="1"/>
        <v>0</v>
      </c>
      <c r="AK40" s="1817"/>
      <c r="AL40" s="2846">
        <f>ROUND(IF(AG40=0,0,AJ40/ABS(AG40)),3)</f>
        <v>0</v>
      </c>
    </row>
    <row r="41" spans="1:39" s="1828" customFormat="1" ht="15.75">
      <c r="A41" s="296"/>
      <c r="B41" s="1541" t="s">
        <v>1159</v>
      </c>
      <c r="C41" s="296"/>
      <c r="D41" s="296"/>
      <c r="E41" s="2515">
        <f t="shared" si="0"/>
        <v>0</v>
      </c>
      <c r="F41" s="1544"/>
      <c r="G41" s="2515"/>
      <c r="H41" s="1544"/>
      <c r="I41" s="2515"/>
      <c r="J41" s="1544"/>
      <c r="K41" s="2515"/>
      <c r="L41" s="2507"/>
      <c r="M41" s="2515"/>
      <c r="N41" s="2507"/>
      <c r="O41" s="2515"/>
      <c r="P41" s="2507"/>
      <c r="Q41" s="2515"/>
      <c r="R41" s="2507"/>
      <c r="S41" s="2515"/>
      <c r="T41" s="2507"/>
      <c r="U41" s="2515"/>
      <c r="V41" s="2507"/>
      <c r="W41" s="2515"/>
      <c r="X41" s="2507"/>
      <c r="Y41" s="2515"/>
      <c r="Z41" s="2507"/>
      <c r="AA41" s="2515"/>
      <c r="AB41" s="307"/>
      <c r="AC41" s="1145"/>
      <c r="AD41" s="2914">
        <v>0</v>
      </c>
      <c r="AE41" s="3289"/>
      <c r="AF41" s="3290"/>
      <c r="AG41" s="2949">
        <v>0.7</v>
      </c>
      <c r="AH41" s="308"/>
      <c r="AI41" s="1816"/>
      <c r="AJ41" s="308">
        <f t="shared" si="1"/>
        <v>-0.7</v>
      </c>
      <c r="AK41" s="1817"/>
      <c r="AL41" s="2843">
        <f>ROUND(IF(AG41=0,1,AJ41/ABS(AG41)),3)</f>
        <v>-1</v>
      </c>
    </row>
    <row r="42" spans="1:39" s="612" customFormat="1" ht="15.75" collapsed="1">
      <c r="A42" s="216"/>
      <c r="B42" s="555" t="s">
        <v>1195</v>
      </c>
      <c r="C42" s="216"/>
      <c r="D42" s="294"/>
      <c r="E42" s="2514">
        <f>ROUND(SUM(E19:E41),1)</f>
        <v>0.1</v>
      </c>
      <c r="F42" s="301"/>
      <c r="G42" s="2514">
        <f>ROUND(SUM(G19:G41),1)</f>
        <v>0</v>
      </c>
      <c r="H42" s="1834"/>
      <c r="I42" s="2514">
        <f>ROUND(SUM(I19:I41),1)</f>
        <v>0</v>
      </c>
      <c r="J42" s="301"/>
      <c r="K42" s="2514">
        <f>ROUND(SUM(K19:K41),1)</f>
        <v>0</v>
      </c>
      <c r="L42" s="1587"/>
      <c r="M42" s="1144">
        <f>ROUND(SUM(M19:M41),1)</f>
        <v>0</v>
      </c>
      <c r="N42" s="1587"/>
      <c r="O42" s="1144">
        <f>ROUND(SUM(O19:O41),1)</f>
        <v>0</v>
      </c>
      <c r="P42" s="1587"/>
      <c r="Q42" s="1144">
        <f>ROUND(SUM(Q19:Q41),1)</f>
        <v>0</v>
      </c>
      <c r="R42" s="1587"/>
      <c r="S42" s="1144">
        <f>ROUND(SUM(S19:S41),1)</f>
        <v>0</v>
      </c>
      <c r="T42" s="1587"/>
      <c r="U42" s="2514">
        <f>ROUND(SUM(U19:U41),1)</f>
        <v>0</v>
      </c>
      <c r="V42" s="1587"/>
      <c r="W42" s="1144">
        <f>ROUND(SUM(W19:W41),1)</f>
        <v>0</v>
      </c>
      <c r="X42" s="1587"/>
      <c r="Y42" s="1144">
        <f>ROUND(SUM(Y19:Y41),1)</f>
        <v>0</v>
      </c>
      <c r="Z42" s="1587"/>
      <c r="AA42" s="1144">
        <f>ROUND(SUM(AA19:AA41),1)</f>
        <v>0</v>
      </c>
      <c r="AB42" s="301"/>
      <c r="AC42" s="1146"/>
      <c r="AD42" s="2514">
        <f>ROUND(SUM(AD19:AD41),1)</f>
        <v>0.1</v>
      </c>
      <c r="AE42" s="1820"/>
      <c r="AF42" s="304"/>
      <c r="AG42" s="1144">
        <f>ROUND(SUM(AG19:AG41),1)</f>
        <v>0.7</v>
      </c>
      <c r="AH42" s="1853"/>
      <c r="AI42" s="1816"/>
      <c r="AJ42" s="1144">
        <f>ROUND(SUM(AJ19:AJ41),1)</f>
        <v>-0.6</v>
      </c>
      <c r="AK42" s="1787"/>
      <c r="AL42" s="70">
        <f>ROUND(IF(AG42=0,0,AJ42/ABS(AG42)),3)</f>
        <v>-0.85699999999999998</v>
      </c>
    </row>
    <row r="43" spans="1:39" s="640" customFormat="1" ht="15.75">
      <c r="A43" s="254"/>
      <c r="B43" s="1769"/>
      <c r="C43" s="254"/>
      <c r="D43" s="307"/>
      <c r="E43" s="2515"/>
      <c r="F43" s="1544"/>
      <c r="G43" s="1894"/>
      <c r="H43" s="1544"/>
      <c r="I43" s="2515"/>
      <c r="J43" s="1544"/>
      <c r="K43" s="1894"/>
      <c r="L43" s="254"/>
      <c r="M43" s="493"/>
      <c r="N43" s="254"/>
      <c r="O43" s="492"/>
      <c r="P43" s="254"/>
      <c r="Q43" s="493"/>
      <c r="R43" s="254"/>
      <c r="S43" s="492"/>
      <c r="T43" s="254"/>
      <c r="U43" s="492"/>
      <c r="V43" s="254"/>
      <c r="W43" s="493"/>
      <c r="X43" s="254"/>
      <c r="Y43" s="493"/>
      <c r="Z43" s="254"/>
      <c r="AA43" s="1813"/>
      <c r="AB43" s="307"/>
      <c r="AC43" s="1145"/>
      <c r="AD43" s="1813"/>
      <c r="AE43" s="1815"/>
      <c r="AF43" s="1145"/>
      <c r="AG43" s="1813"/>
      <c r="AH43" s="308"/>
      <c r="AI43" s="1816"/>
      <c r="AJ43" s="646"/>
      <c r="AK43" s="245"/>
      <c r="AL43" s="614"/>
      <c r="AM43" s="245"/>
    </row>
    <row r="44" spans="1:39" ht="15.75">
      <c r="A44" s="218"/>
      <c r="B44" s="218" t="s">
        <v>151</v>
      </c>
      <c r="C44" s="218"/>
      <c r="D44" s="296"/>
      <c r="E44" s="2515">
        <f>$AD44</f>
        <v>58.7</v>
      </c>
      <c r="F44" s="1544"/>
      <c r="G44" s="2515"/>
      <c r="H44" s="1544"/>
      <c r="I44" s="2515"/>
      <c r="J44" s="1544"/>
      <c r="K44" s="2515"/>
      <c r="L44" s="1544"/>
      <c r="M44" s="2515"/>
      <c r="N44" s="1544"/>
      <c r="O44" s="2515"/>
      <c r="P44" s="1544"/>
      <c r="Q44" s="2515"/>
      <c r="R44" s="1544"/>
      <c r="S44" s="2515"/>
      <c r="T44" s="2515"/>
      <c r="U44" s="2515"/>
      <c r="V44" s="1544"/>
      <c r="W44" s="2515"/>
      <c r="X44" s="1544"/>
      <c r="Y44" s="2515"/>
      <c r="Z44" s="1544"/>
      <c r="AA44" s="2515"/>
      <c r="AB44" s="1544"/>
      <c r="AC44" s="2294"/>
      <c r="AD44" s="2515">
        <v>58.7</v>
      </c>
      <c r="AE44" s="2841"/>
      <c r="AF44" s="1740"/>
      <c r="AG44" s="2515">
        <v>136.1</v>
      </c>
      <c r="AH44" s="308"/>
      <c r="AI44" s="1849"/>
      <c r="AJ44" s="1864">
        <f>ROUND(AD44-AG44,1)</f>
        <v>-77.400000000000006</v>
      </c>
      <c r="AK44" s="616"/>
      <c r="AL44" s="1554">
        <f>ROUND(IF(AG44=0,0,AJ44/ABS(AG44)),3)</f>
        <v>-0.56899999999999995</v>
      </c>
    </row>
    <row r="45" spans="1:39" ht="15.75">
      <c r="A45" s="218"/>
      <c r="B45" s="218"/>
      <c r="C45" s="218"/>
      <c r="D45" s="296"/>
      <c r="E45" s="1758"/>
      <c r="F45" s="1544"/>
      <c r="G45" s="1758"/>
      <c r="H45" s="1544"/>
      <c r="I45" s="1758"/>
      <c r="J45" s="1544"/>
      <c r="K45" s="1758"/>
      <c r="L45" s="254"/>
      <c r="M45" s="277"/>
      <c r="N45" s="254"/>
      <c r="O45" s="277"/>
      <c r="P45" s="254"/>
      <c r="Q45" s="277"/>
      <c r="R45" s="254"/>
      <c r="S45" s="277"/>
      <c r="T45" s="254"/>
      <c r="U45" s="277"/>
      <c r="V45" s="254"/>
      <c r="W45" s="277"/>
      <c r="X45" s="254"/>
      <c r="Y45" s="277"/>
      <c r="Z45" s="254"/>
      <c r="AA45" s="315"/>
      <c r="AB45" s="307"/>
      <c r="AC45" s="1145"/>
      <c r="AD45" s="315"/>
      <c r="AE45" s="1815"/>
      <c r="AF45" s="1145"/>
      <c r="AG45" s="315"/>
      <c r="AH45" s="255"/>
      <c r="AI45" s="1849"/>
      <c r="AJ45" s="646"/>
      <c r="AK45" s="607"/>
      <c r="AL45" s="614"/>
    </row>
    <row r="46" spans="1:39" ht="15.75">
      <c r="A46" s="218"/>
      <c r="B46" s="216" t="s">
        <v>199</v>
      </c>
      <c r="C46" s="218"/>
      <c r="D46" s="296"/>
      <c r="E46" s="301">
        <f>ROUND(SUM(E42+E44),1)</f>
        <v>58.8</v>
      </c>
      <c r="F46" s="301"/>
      <c r="G46" s="301">
        <f>ROUND(SUM(G42+G44),1)</f>
        <v>0</v>
      </c>
      <c r="H46" s="301"/>
      <c r="I46" s="301">
        <f>ROUND(SUM(I42+I44),1)</f>
        <v>0</v>
      </c>
      <c r="J46" s="301"/>
      <c r="K46" s="301">
        <f>ROUND(SUM(K42+K44),1)</f>
        <v>0</v>
      </c>
      <c r="L46" s="250"/>
      <c r="M46" s="1587">
        <f>ROUND(SUM(M42+M44),1)</f>
        <v>0</v>
      </c>
      <c r="N46" s="250"/>
      <c r="O46" s="1587">
        <f>ROUND(SUM(O42+O44),1)</f>
        <v>0</v>
      </c>
      <c r="P46" s="250"/>
      <c r="Q46" s="1587">
        <f>ROUND(SUM(Q42+Q44),1)</f>
        <v>0</v>
      </c>
      <c r="R46" s="250"/>
      <c r="S46" s="1587">
        <f>ROUND(SUM(S42+S44),1)</f>
        <v>0</v>
      </c>
      <c r="T46" s="250"/>
      <c r="U46" s="1587">
        <f>ROUND(SUM(U42+U44),1)</f>
        <v>0</v>
      </c>
      <c r="V46" s="250"/>
      <c r="W46" s="1587">
        <f>ROUND(SUM(W42+W44),1)</f>
        <v>0</v>
      </c>
      <c r="X46" s="250"/>
      <c r="Y46" s="1587">
        <f>ROUND(SUM(Y42+Y44),1)</f>
        <v>0</v>
      </c>
      <c r="Z46" s="250"/>
      <c r="AA46" s="301">
        <f>ROUND(SUM(AA42+AA44),1)</f>
        <v>0</v>
      </c>
      <c r="AB46" s="301"/>
      <c r="AC46" s="1146"/>
      <c r="AD46" s="301">
        <f>ROUND(SUM(AD42+AD44),1)</f>
        <v>58.8</v>
      </c>
      <c r="AE46" s="1820"/>
      <c r="AF46" s="1146"/>
      <c r="AG46" s="301">
        <f>ROUND(SUM(AG42+AG44),1)</f>
        <v>136.80000000000001</v>
      </c>
      <c r="AH46" s="1853"/>
      <c r="AI46" s="1849"/>
      <c r="AJ46" s="1856">
        <f>ROUND(SUM(AJ42+AJ44),1)</f>
        <v>-78</v>
      </c>
      <c r="AK46" s="356"/>
      <c r="AL46" s="522">
        <f>ROUND(SUM(AD46-AG46)/ABS(AG46),3)</f>
        <v>-0.56999999999999995</v>
      </c>
      <c r="AM46" s="612"/>
    </row>
    <row r="47" spans="1:39" ht="15.75">
      <c r="A47" s="218"/>
      <c r="B47" s="218"/>
      <c r="C47" s="218"/>
      <c r="D47" s="296"/>
      <c r="E47" s="1758"/>
      <c r="F47" s="1544"/>
      <c r="G47" s="1758"/>
      <c r="H47" s="1544"/>
      <c r="I47" s="1758"/>
      <c r="J47" s="1544"/>
      <c r="K47" s="1758"/>
      <c r="L47" s="254"/>
      <c r="M47" s="277"/>
      <c r="N47" s="254"/>
      <c r="O47" s="277"/>
      <c r="P47" s="254"/>
      <c r="Q47" s="277"/>
      <c r="R47" s="254"/>
      <c r="S47" s="277"/>
      <c r="T47" s="254"/>
      <c r="U47" s="277"/>
      <c r="V47" s="254"/>
      <c r="W47" s="277"/>
      <c r="X47" s="254"/>
      <c r="Y47" s="277"/>
      <c r="Z47" s="254"/>
      <c r="AA47" s="315"/>
      <c r="AB47" s="307"/>
      <c r="AC47" s="1145"/>
      <c r="AD47" s="315"/>
      <c r="AE47" s="1815"/>
      <c r="AF47" s="1145"/>
      <c r="AG47" s="315"/>
      <c r="AH47" s="255"/>
      <c r="AI47" s="1849"/>
      <c r="AJ47" s="646"/>
      <c r="AK47" s="607"/>
      <c r="AL47" s="614"/>
    </row>
    <row r="48" spans="1:39" ht="15.75">
      <c r="A48" s="218"/>
      <c r="B48" s="216" t="s">
        <v>23</v>
      </c>
      <c r="C48" s="218"/>
      <c r="D48" s="296"/>
      <c r="E48" s="1544"/>
      <c r="F48" s="1544"/>
      <c r="G48" s="1544"/>
      <c r="H48" s="1544"/>
      <c r="I48" s="1544"/>
      <c r="J48" s="1544"/>
      <c r="K48" s="1544"/>
      <c r="L48" s="254"/>
      <c r="M48" s="254"/>
      <c r="N48" s="254"/>
      <c r="O48" s="254"/>
      <c r="P48" s="254"/>
      <c r="Q48" s="254"/>
      <c r="R48" s="254"/>
      <c r="S48" s="254"/>
      <c r="T48" s="254"/>
      <c r="U48" s="254"/>
      <c r="V48" s="254"/>
      <c r="W48" s="254"/>
      <c r="X48" s="254"/>
      <c r="Y48" s="254"/>
      <c r="Z48" s="254"/>
      <c r="AA48" s="307"/>
      <c r="AB48" s="307"/>
      <c r="AC48" s="1145"/>
      <c r="AD48" s="307"/>
      <c r="AE48" s="1815"/>
      <c r="AF48" s="1145"/>
      <c r="AG48" s="307"/>
      <c r="AH48" s="307"/>
      <c r="AI48" s="1849"/>
      <c r="AJ48" s="646"/>
      <c r="AK48" s="607"/>
      <c r="AL48" s="614"/>
    </row>
    <row r="49" spans="1:41" ht="15.75">
      <c r="A49" s="218"/>
      <c r="B49" s="218" t="s">
        <v>153</v>
      </c>
      <c r="C49" s="218"/>
      <c r="D49" s="296"/>
      <c r="E49" s="2515"/>
      <c r="F49" s="1544"/>
      <c r="G49" s="1544"/>
      <c r="H49" s="1544"/>
      <c r="I49" s="1544"/>
      <c r="J49" s="1544"/>
      <c r="K49" s="1544"/>
      <c r="L49" s="254"/>
      <c r="M49" s="254"/>
      <c r="N49" s="254"/>
      <c r="O49" s="254"/>
      <c r="P49" s="254"/>
      <c r="Q49" s="493"/>
      <c r="R49" s="254"/>
      <c r="S49" s="254"/>
      <c r="T49" s="254"/>
      <c r="U49" s="254"/>
      <c r="V49" s="254"/>
      <c r="W49" s="254"/>
      <c r="X49" s="254"/>
      <c r="Y49" s="254"/>
      <c r="Z49" s="254"/>
      <c r="AA49" s="307"/>
      <c r="AB49" s="307"/>
      <c r="AC49" s="1145"/>
      <c r="AD49" s="307"/>
      <c r="AE49" s="1815"/>
      <c r="AF49" s="1145"/>
      <c r="AG49" s="307"/>
      <c r="AH49" s="307"/>
      <c r="AI49" s="1849"/>
      <c r="AJ49" s="646"/>
      <c r="AK49" s="616"/>
      <c r="AL49" s="614"/>
    </row>
    <row r="50" spans="1:41" s="1828" customFormat="1" ht="15.75">
      <c r="A50" s="296"/>
      <c r="B50" s="296" t="s">
        <v>25</v>
      </c>
      <c r="C50" s="296"/>
      <c r="D50" s="296"/>
      <c r="E50" s="2515">
        <f>$AD50</f>
        <v>0</v>
      </c>
      <c r="F50" s="1544"/>
      <c r="G50" s="2515"/>
      <c r="H50" s="1544"/>
      <c r="I50" s="2515"/>
      <c r="J50" s="1544"/>
      <c r="K50" s="2515"/>
      <c r="L50" s="1544"/>
      <c r="M50" s="2515"/>
      <c r="N50" s="1544"/>
      <c r="O50" s="2515"/>
      <c r="P50" s="1544"/>
      <c r="Q50" s="2515"/>
      <c r="R50" s="1544"/>
      <c r="S50" s="2515"/>
      <c r="T50" s="2515"/>
      <c r="U50" s="2515"/>
      <c r="V50" s="1544"/>
      <c r="W50" s="2515"/>
      <c r="X50" s="2515"/>
      <c r="Y50" s="2515"/>
      <c r="Z50" s="1544"/>
      <c r="AA50" s="2515"/>
      <c r="AB50" s="1544"/>
      <c r="AC50" s="2294"/>
      <c r="AD50" s="2515">
        <v>0</v>
      </c>
      <c r="AE50" s="2841"/>
      <c r="AF50" s="1740"/>
      <c r="AG50" s="2515">
        <v>0</v>
      </c>
      <c r="AH50" s="308"/>
      <c r="AI50" s="1816"/>
      <c r="AJ50" s="1865">
        <f>ROUND(AD50-AG50,1)</f>
        <v>0</v>
      </c>
      <c r="AK50" s="1817"/>
      <c r="AL50" s="2846">
        <f>ROUND(IF(AG50=0,0,AJ50/ABS(AG50)),3)</f>
        <v>0</v>
      </c>
    </row>
    <row r="51" spans="1:41" s="1828" customFormat="1" ht="15.75">
      <c r="A51" s="296"/>
      <c r="B51" s="296" t="s">
        <v>26</v>
      </c>
      <c r="C51" s="296"/>
      <c r="D51" s="296"/>
      <c r="E51" s="2515">
        <f t="shared" ref="E51:E59" si="3">$AD51</f>
        <v>0</v>
      </c>
      <c r="F51" s="1544"/>
      <c r="G51" s="2515"/>
      <c r="H51" s="1544"/>
      <c r="I51" s="2515"/>
      <c r="J51" s="1544"/>
      <c r="K51" s="2515"/>
      <c r="L51" s="1544"/>
      <c r="M51" s="2515"/>
      <c r="N51" s="1544"/>
      <c r="O51" s="2515"/>
      <c r="P51" s="1544"/>
      <c r="Q51" s="2515"/>
      <c r="R51" s="1544"/>
      <c r="S51" s="2515"/>
      <c r="T51" s="2515"/>
      <c r="U51" s="2515"/>
      <c r="V51" s="1544"/>
      <c r="W51" s="2515"/>
      <c r="X51" s="2515"/>
      <c r="Y51" s="2515"/>
      <c r="Z51" s="1544"/>
      <c r="AA51" s="2515"/>
      <c r="AB51" s="1544"/>
      <c r="AC51" s="2294"/>
      <c r="AD51" s="2515">
        <v>0</v>
      </c>
      <c r="AE51" s="2841"/>
      <c r="AF51" s="1740"/>
      <c r="AG51" s="2515">
        <v>0</v>
      </c>
      <c r="AH51" s="308"/>
      <c r="AI51" s="1816"/>
      <c r="AJ51" s="1865">
        <f>ROUND(AD51-AG51,1)</f>
        <v>0</v>
      </c>
      <c r="AK51" s="1817"/>
      <c r="AL51" s="2849">
        <f>ROUND(IF(AG51=0,0,AJ51/ABS(AG51)),3)</f>
        <v>0</v>
      </c>
    </row>
    <row r="52" spans="1:41" s="1828" customFormat="1" ht="15.75">
      <c r="A52" s="296"/>
      <c r="B52" s="296" t="s">
        <v>27</v>
      </c>
      <c r="C52" s="296"/>
      <c r="D52" s="296"/>
      <c r="E52" s="2515">
        <f t="shared" si="3"/>
        <v>0</v>
      </c>
      <c r="F52" s="1544"/>
      <c r="G52" s="2515"/>
      <c r="H52" s="1544"/>
      <c r="I52" s="2515"/>
      <c r="J52" s="1544"/>
      <c r="K52" s="2515"/>
      <c r="L52" s="1544"/>
      <c r="M52" s="2515"/>
      <c r="N52" s="1544"/>
      <c r="O52" s="2515"/>
      <c r="P52" s="1544"/>
      <c r="Q52" s="2515"/>
      <c r="R52" s="1544"/>
      <c r="S52" s="2515"/>
      <c r="T52" s="2515"/>
      <c r="U52" s="2515"/>
      <c r="V52" s="1544"/>
      <c r="W52" s="2515"/>
      <c r="X52" s="2515"/>
      <c r="Y52" s="2515"/>
      <c r="Z52" s="1544"/>
      <c r="AA52" s="2515"/>
      <c r="AB52" s="1544"/>
      <c r="AC52" s="2294"/>
      <c r="AD52" s="2515">
        <v>0</v>
      </c>
      <c r="AE52" s="2841"/>
      <c r="AF52" s="1740"/>
      <c r="AG52" s="2515">
        <v>0</v>
      </c>
      <c r="AH52" s="308"/>
      <c r="AI52" s="1816"/>
      <c r="AJ52" s="1865">
        <f>ROUND(AD52-AG52,1)</f>
        <v>0</v>
      </c>
      <c r="AK52" s="1846"/>
      <c r="AL52" s="2846">
        <f>ROUND(IF(AG52=0,0,AJ52/ABS(AG52)),3)</f>
        <v>0</v>
      </c>
    </row>
    <row r="53" spans="1:41" s="1828" customFormat="1" ht="15.75">
      <c r="A53" s="296"/>
      <c r="B53" s="296" t="s">
        <v>28</v>
      </c>
      <c r="C53" s="296"/>
      <c r="D53" s="296"/>
      <c r="E53" s="2515" t="s">
        <v>15</v>
      </c>
      <c r="F53" s="1544"/>
      <c r="G53" s="2515"/>
      <c r="H53" s="1544"/>
      <c r="I53" s="2515"/>
      <c r="J53" s="1544"/>
      <c r="K53" s="2515"/>
      <c r="L53" s="1544"/>
      <c r="M53" s="2515"/>
      <c r="N53" s="1544"/>
      <c r="O53" s="2515"/>
      <c r="P53" s="1544"/>
      <c r="Q53" s="2515"/>
      <c r="R53" s="1544"/>
      <c r="S53" s="2515"/>
      <c r="T53" s="2515"/>
      <c r="U53" s="2515"/>
      <c r="V53" s="1544"/>
      <c r="W53" s="2515"/>
      <c r="X53" s="2515"/>
      <c r="Y53" s="2515"/>
      <c r="Z53" s="1544"/>
      <c r="AA53" s="2515"/>
      <c r="AB53" s="1544"/>
      <c r="AC53" s="2294"/>
      <c r="AD53" s="2515"/>
      <c r="AE53" s="2841"/>
      <c r="AF53" s="1740"/>
      <c r="AG53" s="2515"/>
      <c r="AH53" s="307"/>
      <c r="AI53" s="1849"/>
      <c r="AJ53" s="1866"/>
      <c r="AK53" s="1817"/>
      <c r="AL53" s="2850" t="s">
        <v>15</v>
      </c>
    </row>
    <row r="54" spans="1:41" s="1828" customFormat="1" ht="15.75">
      <c r="A54" s="296"/>
      <c r="B54" s="296" t="s">
        <v>29</v>
      </c>
      <c r="C54" s="294"/>
      <c r="D54" s="296"/>
      <c r="E54" s="2515">
        <f t="shared" si="3"/>
        <v>0</v>
      </c>
      <c r="F54" s="1544"/>
      <c r="G54" s="2515"/>
      <c r="H54" s="1544"/>
      <c r="I54" s="2515"/>
      <c r="J54" s="1544"/>
      <c r="K54" s="2515"/>
      <c r="L54" s="1544"/>
      <c r="M54" s="2515"/>
      <c r="N54" s="1544"/>
      <c r="O54" s="2515"/>
      <c r="P54" s="1544"/>
      <c r="Q54" s="2515"/>
      <c r="R54" s="1544"/>
      <c r="S54" s="2515"/>
      <c r="T54" s="2515"/>
      <c r="U54" s="2515"/>
      <c r="V54" s="1544"/>
      <c r="W54" s="2515"/>
      <c r="X54" s="2515"/>
      <c r="Y54" s="2515"/>
      <c r="Z54" s="1544"/>
      <c r="AA54" s="2515"/>
      <c r="AB54" s="1544"/>
      <c r="AC54" s="2294"/>
      <c r="AD54" s="2515">
        <v>0</v>
      </c>
      <c r="AE54" s="2841"/>
      <c r="AF54" s="1740"/>
      <c r="AG54" s="2515">
        <v>0</v>
      </c>
      <c r="AH54" s="307"/>
      <c r="AI54" s="1849"/>
      <c r="AJ54" s="1865">
        <f t="shared" ref="AJ54:AJ59" si="4">ROUND(AD54-AG54,1)</f>
        <v>0</v>
      </c>
      <c r="AK54" s="1846"/>
      <c r="AL54" s="2846">
        <f>ROUND(IF(AG54=0,0,AJ54/ABS(AG54)),3)</f>
        <v>0</v>
      </c>
      <c r="AM54" s="1846"/>
    </row>
    <row r="55" spans="1:41" s="1828" customFormat="1" ht="15.75">
      <c r="A55" s="296"/>
      <c r="B55" s="296" t="s">
        <v>30</v>
      </c>
      <c r="C55" s="296"/>
      <c r="D55" s="296"/>
      <c r="E55" s="2515">
        <f t="shared" si="3"/>
        <v>0</v>
      </c>
      <c r="F55" s="1544"/>
      <c r="G55" s="2515"/>
      <c r="H55" s="1544"/>
      <c r="I55" s="2515"/>
      <c r="J55" s="1544"/>
      <c r="K55" s="2515"/>
      <c r="L55" s="1544"/>
      <c r="M55" s="2515"/>
      <c r="N55" s="1544"/>
      <c r="O55" s="2515"/>
      <c r="P55" s="1544"/>
      <c r="Q55" s="2515"/>
      <c r="R55" s="1544"/>
      <c r="S55" s="2515"/>
      <c r="T55" s="2515"/>
      <c r="U55" s="2515"/>
      <c r="V55" s="1544"/>
      <c r="W55" s="2515"/>
      <c r="X55" s="2515"/>
      <c r="Y55" s="2515"/>
      <c r="Z55" s="1544"/>
      <c r="AA55" s="2515"/>
      <c r="AB55" s="1544"/>
      <c r="AC55" s="2294"/>
      <c r="AD55" s="2515">
        <v>0</v>
      </c>
      <c r="AE55" s="2841"/>
      <c r="AF55" s="1740"/>
      <c r="AG55" s="2515">
        <v>0</v>
      </c>
      <c r="AH55" s="308"/>
      <c r="AI55" s="1816"/>
      <c r="AJ55" s="1865">
        <f t="shared" si="4"/>
        <v>0</v>
      </c>
      <c r="AK55" s="1817"/>
      <c r="AL55" s="2744">
        <f>ROUND(IF(AG55=0,0,AJ55/ABS(AG55)),3)</f>
        <v>0</v>
      </c>
    </row>
    <row r="56" spans="1:41" s="1828" customFormat="1" ht="15.75">
      <c r="A56" s="296"/>
      <c r="B56" s="296" t="s">
        <v>31</v>
      </c>
      <c r="C56" s="296"/>
      <c r="D56" s="296"/>
      <c r="E56" s="2515">
        <f t="shared" si="3"/>
        <v>0</v>
      </c>
      <c r="F56" s="1544"/>
      <c r="G56" s="2515"/>
      <c r="H56" s="1544"/>
      <c r="I56" s="2515"/>
      <c r="J56" s="1544"/>
      <c r="K56" s="2515"/>
      <c r="L56" s="1544"/>
      <c r="M56" s="2515"/>
      <c r="N56" s="1544"/>
      <c r="O56" s="2515"/>
      <c r="P56" s="1544"/>
      <c r="Q56" s="2515"/>
      <c r="R56" s="1544"/>
      <c r="S56" s="2515"/>
      <c r="T56" s="2515"/>
      <c r="U56" s="2515"/>
      <c r="V56" s="1544"/>
      <c r="W56" s="2515"/>
      <c r="X56" s="2515"/>
      <c r="Y56" s="2515"/>
      <c r="Z56" s="1544"/>
      <c r="AA56" s="2515"/>
      <c r="AB56" s="1544"/>
      <c r="AC56" s="2294"/>
      <c r="AD56" s="2515">
        <v>0</v>
      </c>
      <c r="AE56" s="2841"/>
      <c r="AF56" s="1740"/>
      <c r="AG56" s="2515">
        <v>0</v>
      </c>
      <c r="AH56" s="308"/>
      <c r="AI56" s="1816"/>
      <c r="AJ56" s="1865">
        <f t="shared" si="4"/>
        <v>0</v>
      </c>
      <c r="AK56" s="1846"/>
      <c r="AL56" s="2744">
        <f>ROUND(IF(AG56=0,0,AJ56/ABS(AG56)),3)</f>
        <v>0</v>
      </c>
    </row>
    <row r="57" spans="1:41" s="1828" customFormat="1" ht="15.75">
      <c r="A57" s="296"/>
      <c r="B57" s="296" t="s">
        <v>32</v>
      </c>
      <c r="C57" s="296"/>
      <c r="D57" s="296"/>
      <c r="E57" s="2515">
        <f t="shared" si="3"/>
        <v>0</v>
      </c>
      <c r="F57" s="1544"/>
      <c r="G57" s="2515"/>
      <c r="H57" s="1544"/>
      <c r="I57" s="2515"/>
      <c r="J57" s="1544"/>
      <c r="K57" s="2515"/>
      <c r="L57" s="1544"/>
      <c r="M57" s="2515"/>
      <c r="N57" s="1544"/>
      <c r="O57" s="2515"/>
      <c r="P57" s="1544"/>
      <c r="Q57" s="2515"/>
      <c r="R57" s="1544"/>
      <c r="S57" s="2515"/>
      <c r="T57" s="2515"/>
      <c r="U57" s="2515"/>
      <c r="V57" s="1544"/>
      <c r="W57" s="2515"/>
      <c r="X57" s="2515"/>
      <c r="Y57" s="2515"/>
      <c r="Z57" s="1544"/>
      <c r="AA57" s="2515"/>
      <c r="AB57" s="1544"/>
      <c r="AC57" s="2294"/>
      <c r="AD57" s="2515">
        <v>0</v>
      </c>
      <c r="AE57" s="2841"/>
      <c r="AF57" s="1740"/>
      <c r="AG57" s="2515">
        <v>0</v>
      </c>
      <c r="AH57" s="307"/>
      <c r="AI57" s="1849"/>
      <c r="AJ57" s="1865">
        <f t="shared" si="4"/>
        <v>0</v>
      </c>
      <c r="AK57" s="1817"/>
      <c r="AL57" s="2846">
        <f>ROUND(IF(AG57=0,0,AJ57/ABS(AG57)),3)</f>
        <v>0</v>
      </c>
    </row>
    <row r="58" spans="1:41" s="1828" customFormat="1" ht="15.75">
      <c r="A58" s="296"/>
      <c r="B58" s="296" t="s">
        <v>33</v>
      </c>
      <c r="C58" s="294"/>
      <c r="D58" s="296"/>
      <c r="E58" s="2515">
        <f t="shared" si="3"/>
        <v>0</v>
      </c>
      <c r="F58" s="1544"/>
      <c r="G58" s="2515"/>
      <c r="H58" s="1544"/>
      <c r="I58" s="2515"/>
      <c r="J58" s="1544"/>
      <c r="K58" s="2515"/>
      <c r="L58" s="1544"/>
      <c r="M58" s="2515"/>
      <c r="N58" s="1544"/>
      <c r="O58" s="2515"/>
      <c r="P58" s="1544"/>
      <c r="Q58" s="2515"/>
      <c r="R58" s="1544"/>
      <c r="S58" s="2515"/>
      <c r="T58" s="2515"/>
      <c r="U58" s="2515"/>
      <c r="V58" s="1544"/>
      <c r="W58" s="2515"/>
      <c r="X58" s="2515"/>
      <c r="Y58" s="2515"/>
      <c r="Z58" s="1544"/>
      <c r="AA58" s="2515"/>
      <c r="AB58" s="1544"/>
      <c r="AC58" s="2294"/>
      <c r="AD58" s="2515">
        <v>0</v>
      </c>
      <c r="AE58" s="2841"/>
      <c r="AF58" s="1740"/>
      <c r="AG58" s="2515">
        <v>0</v>
      </c>
      <c r="AH58" s="307"/>
      <c r="AI58" s="1849"/>
      <c r="AJ58" s="1865">
        <f t="shared" si="4"/>
        <v>0</v>
      </c>
      <c r="AK58" s="1846"/>
      <c r="AL58" s="2846">
        <f>ROUND(IF(AG58=0,0,AJ58/ABS(AG58)),3)</f>
        <v>0</v>
      </c>
      <c r="AM58" s="1846"/>
    </row>
    <row r="59" spans="1:41" s="1828" customFormat="1" ht="15.75">
      <c r="A59" s="296"/>
      <c r="B59" s="296" t="s">
        <v>34</v>
      </c>
      <c r="C59" s="296"/>
      <c r="D59" s="296"/>
      <c r="E59" s="2515">
        <f t="shared" si="3"/>
        <v>51.4</v>
      </c>
      <c r="F59" s="1544"/>
      <c r="G59" s="2515"/>
      <c r="H59" s="1544"/>
      <c r="I59" s="2515"/>
      <c r="J59" s="1544"/>
      <c r="K59" s="2515"/>
      <c r="L59" s="1544"/>
      <c r="M59" s="2515"/>
      <c r="N59" s="1544"/>
      <c r="O59" s="2515"/>
      <c r="P59" s="1544"/>
      <c r="Q59" s="2515"/>
      <c r="R59" s="1544"/>
      <c r="S59" s="2515"/>
      <c r="T59" s="2515"/>
      <c r="U59" s="2515"/>
      <c r="V59" s="1544"/>
      <c r="W59" s="2515"/>
      <c r="X59" s="2515"/>
      <c r="Y59" s="2515"/>
      <c r="Z59" s="1544"/>
      <c r="AA59" s="2515"/>
      <c r="AB59" s="1544"/>
      <c r="AC59" s="2294"/>
      <c r="AD59" s="2515">
        <v>51.4</v>
      </c>
      <c r="AE59" s="2841"/>
      <c r="AF59" s="1740"/>
      <c r="AG59" s="2515">
        <v>30.7</v>
      </c>
      <c r="AH59" s="255"/>
      <c r="AI59" s="1849"/>
      <c r="AJ59" s="1865">
        <f t="shared" si="4"/>
        <v>20.7</v>
      </c>
      <c r="AK59" s="1846"/>
      <c r="AL59" s="2851">
        <f>ROUND((AD59-AG59)/ABS(AG59),3)</f>
        <v>0.67400000000000004</v>
      </c>
    </row>
    <row r="60" spans="1:41" ht="15.75">
      <c r="A60" s="218"/>
      <c r="B60" s="216" t="s">
        <v>200</v>
      </c>
      <c r="C60" s="218"/>
      <c r="D60" s="296"/>
      <c r="E60" s="1835">
        <f>ROUND(SUM(E50:E59),1)</f>
        <v>51.4</v>
      </c>
      <c r="F60" s="301"/>
      <c r="G60" s="1835">
        <f>ROUND(SUM(G50:G59),1)</f>
        <v>0</v>
      </c>
      <c r="H60" s="301"/>
      <c r="I60" s="1835">
        <f>ROUND(SUM(I50:I59),1)</f>
        <v>0</v>
      </c>
      <c r="J60" s="301"/>
      <c r="K60" s="1835">
        <f>ROUND(SUM(K50:K59),1)</f>
        <v>0</v>
      </c>
      <c r="L60" s="250"/>
      <c r="M60" s="517">
        <f>ROUND(SUM(M50:M59),1)</f>
        <v>0</v>
      </c>
      <c r="N60" s="250"/>
      <c r="O60" s="517">
        <f>ROUND(SUM(O50:O59),1)</f>
        <v>0</v>
      </c>
      <c r="P60" s="250"/>
      <c r="Q60" s="517">
        <f>ROUND(SUM(Q50:Q59),1)</f>
        <v>0</v>
      </c>
      <c r="R60" s="250"/>
      <c r="S60" s="517">
        <f>ROUND(SUM(S50:S59),1)</f>
        <v>0</v>
      </c>
      <c r="T60" s="250"/>
      <c r="U60" s="517">
        <f>ROUND(SUM(U50:U59),1)</f>
        <v>0</v>
      </c>
      <c r="V60" s="250"/>
      <c r="W60" s="517">
        <f>ROUND(SUM(W50:W59),1)</f>
        <v>0</v>
      </c>
      <c r="X60" s="250"/>
      <c r="Y60" s="517">
        <f>ROUND(SUM(Y50:Y59),1)</f>
        <v>0</v>
      </c>
      <c r="Z60" s="250"/>
      <c r="AA60" s="1835">
        <f>ROUND(SUM(AA50:AA59),1)</f>
        <v>0</v>
      </c>
      <c r="AB60" s="301"/>
      <c r="AC60" s="1146"/>
      <c r="AD60" s="1835">
        <f>ROUND(SUM(AD50:AD59),1)</f>
        <v>51.4</v>
      </c>
      <c r="AE60" s="1820"/>
      <c r="AF60" s="1146"/>
      <c r="AG60" s="1835">
        <f>ROUND(SUM(AG50:AG59),1)</f>
        <v>30.7</v>
      </c>
      <c r="AH60" s="304"/>
      <c r="AI60" s="1849"/>
      <c r="AJ60" s="1835">
        <f>ROUND(SUM(AJ50:AJ59),1)</f>
        <v>20.7</v>
      </c>
      <c r="AK60" s="624"/>
      <c r="AL60" s="625">
        <f>ROUND(SUM(AD60-AG60)/ABS(AG60),3)</f>
        <v>0.67400000000000004</v>
      </c>
      <c r="AM60" s="624"/>
      <c r="AN60" s="612"/>
      <c r="AO60" s="612"/>
    </row>
    <row r="61" spans="1:41" ht="15.75">
      <c r="A61" s="218"/>
      <c r="B61" s="218" t="s">
        <v>201</v>
      </c>
      <c r="C61" s="218"/>
      <c r="D61" s="296"/>
      <c r="E61" s="1544"/>
      <c r="F61" s="1544"/>
      <c r="G61" s="1544"/>
      <c r="H61" s="1544"/>
      <c r="I61" s="1544"/>
      <c r="J61" s="1544"/>
      <c r="K61" s="1544"/>
      <c r="L61" s="254"/>
      <c r="M61" s="254"/>
      <c r="N61" s="254"/>
      <c r="O61" s="254"/>
      <c r="P61" s="254"/>
      <c r="Q61" s="254"/>
      <c r="R61" s="254"/>
      <c r="S61" s="254"/>
      <c r="T61" s="254"/>
      <c r="U61" s="254"/>
      <c r="V61" s="254"/>
      <c r="W61" s="254"/>
      <c r="X61" s="254"/>
      <c r="Y61" s="254"/>
      <c r="Z61" s="254"/>
      <c r="AA61" s="307"/>
      <c r="AB61" s="307"/>
      <c r="AC61" s="1145"/>
      <c r="AD61" s="307"/>
      <c r="AE61" s="1815"/>
      <c r="AF61" s="1145"/>
      <c r="AG61" s="307"/>
      <c r="AH61" s="307"/>
      <c r="AI61" s="1849"/>
      <c r="AJ61" s="646"/>
      <c r="AK61" s="607"/>
      <c r="AL61" s="614"/>
    </row>
    <row r="62" spans="1:41" s="1828" customFormat="1" ht="15.75">
      <c r="A62" s="296"/>
      <c r="B62" s="296" t="s">
        <v>202</v>
      </c>
      <c r="C62" s="296"/>
      <c r="D62" s="296"/>
      <c r="E62" s="2515">
        <f>$AD62</f>
        <v>0</v>
      </c>
      <c r="F62" s="1544"/>
      <c r="G62" s="2515"/>
      <c r="H62" s="1544"/>
      <c r="I62" s="2515"/>
      <c r="J62" s="1544"/>
      <c r="K62" s="2515"/>
      <c r="L62" s="1544"/>
      <c r="M62" s="2515"/>
      <c r="N62" s="1544"/>
      <c r="O62" s="2515"/>
      <c r="P62" s="1544"/>
      <c r="Q62" s="2515"/>
      <c r="R62" s="1544"/>
      <c r="S62" s="2515"/>
      <c r="T62" s="2515"/>
      <c r="U62" s="2515"/>
      <c r="V62" s="1544"/>
      <c r="W62" s="2515"/>
      <c r="X62" s="1544"/>
      <c r="Y62" s="2515"/>
      <c r="Z62" s="1544"/>
      <c r="AA62" s="2515"/>
      <c r="AB62" s="1544"/>
      <c r="AC62" s="2294"/>
      <c r="AD62" s="2515">
        <v>0</v>
      </c>
      <c r="AE62" s="2841"/>
      <c r="AF62" s="1740"/>
      <c r="AG62" s="2515">
        <v>0</v>
      </c>
      <c r="AH62" s="316"/>
      <c r="AI62" s="1857"/>
      <c r="AJ62" s="1865">
        <f>ROUND(AD62-AG62,1)</f>
        <v>0</v>
      </c>
      <c r="AK62" s="1846"/>
      <c r="AL62" s="2846">
        <f>ROUND(IF(AG62=0,0,AJ62/ABS(AG62)),3)</f>
        <v>0</v>
      </c>
      <c r="AM62" s="1848"/>
    </row>
    <row r="63" spans="1:41" s="1828" customFormat="1" ht="15.75">
      <c r="A63" s="296"/>
      <c r="B63" s="296" t="s">
        <v>203</v>
      </c>
      <c r="C63" s="296"/>
      <c r="D63" s="296"/>
      <c r="E63" s="2515">
        <f t="shared" ref="E63:E65" si="5">$AD63</f>
        <v>0</v>
      </c>
      <c r="F63" s="1544"/>
      <c r="G63" s="2515"/>
      <c r="H63" s="1544"/>
      <c r="I63" s="2515"/>
      <c r="J63" s="1544"/>
      <c r="K63" s="2515"/>
      <c r="L63" s="1544"/>
      <c r="M63" s="2515"/>
      <c r="N63" s="1544"/>
      <c r="O63" s="2515"/>
      <c r="P63" s="1544"/>
      <c r="Q63" s="2515"/>
      <c r="R63" s="1544"/>
      <c r="S63" s="2515"/>
      <c r="T63" s="2515"/>
      <c r="U63" s="2515"/>
      <c r="V63" s="1544"/>
      <c r="W63" s="2515"/>
      <c r="X63" s="1544"/>
      <c r="Y63" s="2515"/>
      <c r="Z63" s="1544"/>
      <c r="AA63" s="2515"/>
      <c r="AB63" s="1544"/>
      <c r="AC63" s="2294"/>
      <c r="AD63" s="2515">
        <v>0</v>
      </c>
      <c r="AE63" s="2841"/>
      <c r="AF63" s="1740"/>
      <c r="AG63" s="2515">
        <v>0</v>
      </c>
      <c r="AH63" s="316"/>
      <c r="AI63" s="1857"/>
      <c r="AJ63" s="1865">
        <f>ROUND(AD63-AG63,1)</f>
        <v>0</v>
      </c>
      <c r="AK63" s="1846"/>
      <c r="AL63" s="2846">
        <f>ROUND(IF(AG63=0,0,AJ63/ABS(AG63)),3)</f>
        <v>0</v>
      </c>
    </row>
    <row r="64" spans="1:41" s="1828" customFormat="1" ht="15.75">
      <c r="A64" s="296"/>
      <c r="B64" s="296" t="s">
        <v>204</v>
      </c>
      <c r="C64" s="296"/>
      <c r="D64" s="296"/>
      <c r="E64" s="2515">
        <f t="shared" si="5"/>
        <v>0</v>
      </c>
      <c r="F64" s="1544"/>
      <c r="G64" s="2515"/>
      <c r="H64" s="1544"/>
      <c r="I64" s="2515"/>
      <c r="J64" s="1544"/>
      <c r="K64" s="2515"/>
      <c r="L64" s="1544"/>
      <c r="M64" s="2515"/>
      <c r="N64" s="1544"/>
      <c r="O64" s="2515"/>
      <c r="P64" s="1544"/>
      <c r="Q64" s="2515"/>
      <c r="R64" s="1544"/>
      <c r="S64" s="2515"/>
      <c r="T64" s="2515"/>
      <c r="U64" s="2515"/>
      <c r="V64" s="1544"/>
      <c r="W64" s="2515"/>
      <c r="X64" s="1544"/>
      <c r="Y64" s="2515"/>
      <c r="Z64" s="1544"/>
      <c r="AA64" s="2515"/>
      <c r="AB64" s="1544"/>
      <c r="AC64" s="2294"/>
      <c r="AD64" s="2515">
        <v>0</v>
      </c>
      <c r="AE64" s="2841"/>
      <c r="AF64" s="1740"/>
      <c r="AG64" s="2515">
        <v>0</v>
      </c>
      <c r="AH64" s="316"/>
      <c r="AI64" s="1857"/>
      <c r="AJ64" s="1865">
        <f>ROUND(AD64-AG64,1)</f>
        <v>0</v>
      </c>
      <c r="AK64" s="1846"/>
      <c r="AL64" s="2846">
        <f>ROUND(IF(AG64=0,0,AJ64/ABS(AG64)),3)</f>
        <v>0</v>
      </c>
    </row>
    <row r="65" spans="1:39" s="1828" customFormat="1" ht="15.75">
      <c r="A65" s="296"/>
      <c r="B65" s="2845" t="s">
        <v>216</v>
      </c>
      <c r="C65" s="296"/>
      <c r="D65" s="296"/>
      <c r="E65" s="2515">
        <f t="shared" si="5"/>
        <v>56.3</v>
      </c>
      <c r="F65" s="1544"/>
      <c r="G65" s="2515"/>
      <c r="H65" s="1544"/>
      <c r="I65" s="2515"/>
      <c r="J65" s="1544"/>
      <c r="K65" s="2515"/>
      <c r="L65" s="1544"/>
      <c r="M65" s="2515"/>
      <c r="N65" s="1544"/>
      <c r="O65" s="2515"/>
      <c r="P65" s="1544"/>
      <c r="Q65" s="2515"/>
      <c r="R65" s="1544"/>
      <c r="S65" s="2515"/>
      <c r="T65" s="2515"/>
      <c r="U65" s="2515"/>
      <c r="V65" s="1544"/>
      <c r="W65" s="2515"/>
      <c r="X65" s="1544"/>
      <c r="Y65" s="2515"/>
      <c r="Z65" s="1544"/>
      <c r="AA65" s="2515"/>
      <c r="AB65" s="1544"/>
      <c r="AC65" s="2294"/>
      <c r="AD65" s="2847">
        <v>56.3</v>
      </c>
      <c r="AE65" s="2841"/>
      <c r="AF65" s="1740"/>
      <c r="AG65" s="2847">
        <v>82.1</v>
      </c>
      <c r="AH65" s="258"/>
      <c r="AI65" s="1816"/>
      <c r="AJ65" s="1867">
        <f>ROUND(AD65-AG65,1)</f>
        <v>-25.8</v>
      </c>
      <c r="AK65" s="1846"/>
      <c r="AL65" s="2848">
        <f>ROUND(IF(AG65=0,0,AJ65/ABS(AG65)),3)</f>
        <v>-0.314</v>
      </c>
    </row>
    <row r="66" spans="1:39" ht="15.75">
      <c r="A66" s="218"/>
      <c r="B66" s="218"/>
      <c r="C66" s="218"/>
      <c r="D66" s="296"/>
      <c r="E66" s="1758"/>
      <c r="F66" s="1544"/>
      <c r="G66" s="1758"/>
      <c r="H66" s="1544"/>
      <c r="I66" s="1758"/>
      <c r="J66" s="1544"/>
      <c r="K66" s="1758"/>
      <c r="L66" s="254"/>
      <c r="M66" s="277"/>
      <c r="N66" s="254"/>
      <c r="O66" s="277"/>
      <c r="P66" s="254"/>
      <c r="Q66" s="277"/>
      <c r="R66" s="254"/>
      <c r="S66" s="277"/>
      <c r="T66" s="254"/>
      <c r="U66" s="277"/>
      <c r="V66" s="254"/>
      <c r="W66" s="277"/>
      <c r="X66" s="254"/>
      <c r="Y66" s="277"/>
      <c r="Z66" s="254"/>
      <c r="AA66" s="315"/>
      <c r="AB66" s="307"/>
      <c r="AC66" s="1145"/>
      <c r="AD66" s="646"/>
      <c r="AE66" s="1815"/>
      <c r="AF66" s="1145"/>
      <c r="AG66" s="646"/>
      <c r="AH66" s="646"/>
      <c r="AI66" s="1860"/>
      <c r="AJ66" s="646"/>
      <c r="AK66" s="607"/>
      <c r="AL66" s="614"/>
    </row>
    <row r="67" spans="1:39" ht="15.75">
      <c r="A67" s="218"/>
      <c r="B67" s="216" t="s">
        <v>205</v>
      </c>
      <c r="C67" s="218"/>
      <c r="D67" s="296"/>
      <c r="E67" s="301">
        <f>ROUND(SUM(E60:E65),1)</f>
        <v>107.7</v>
      </c>
      <c r="F67" s="301"/>
      <c r="G67" s="301">
        <f>ROUND(SUM(G60:G65),1)</f>
        <v>0</v>
      </c>
      <c r="H67" s="301"/>
      <c r="I67" s="301">
        <f>ROUND(SUM(I60:I65),1)</f>
        <v>0</v>
      </c>
      <c r="J67" s="301"/>
      <c r="K67" s="301">
        <f>ROUND(SUM(K60:K65),1)</f>
        <v>0</v>
      </c>
      <c r="L67" s="250"/>
      <c r="M67" s="250">
        <f>ROUND(SUM(M60:M65),1)</f>
        <v>0</v>
      </c>
      <c r="N67" s="250"/>
      <c r="O67" s="250">
        <f>ROUND(SUM(O60:O65),1)</f>
        <v>0</v>
      </c>
      <c r="P67" s="250"/>
      <c r="Q67" s="250">
        <f>ROUND(SUM(Q60:Q65),1)</f>
        <v>0</v>
      </c>
      <c r="R67" s="250"/>
      <c r="S67" s="250">
        <f>ROUND(SUM(S60:S65),1)</f>
        <v>0</v>
      </c>
      <c r="T67" s="250"/>
      <c r="U67" s="1587">
        <f>ROUND(SUM(U60:U65),1)</f>
        <v>0</v>
      </c>
      <c r="V67" s="250"/>
      <c r="W67" s="250">
        <f>ROUND(SUM(W60:W65),1)</f>
        <v>0</v>
      </c>
      <c r="X67" s="250"/>
      <c r="Y67" s="250">
        <f>ROUND(SUM(Y60:Y65),1)</f>
        <v>0</v>
      </c>
      <c r="Z67" s="250"/>
      <c r="AA67" s="301">
        <f>ROUND(SUM(AA60:AA65),1)</f>
        <v>0</v>
      </c>
      <c r="AB67" s="301"/>
      <c r="AC67" s="1146"/>
      <c r="AD67" s="301">
        <f>SUM(AD60:AD65)</f>
        <v>107.69999999999999</v>
      </c>
      <c r="AE67" s="1820"/>
      <c r="AF67" s="1146"/>
      <c r="AG67" s="301">
        <f>SUM(AG60:AG65)</f>
        <v>112.8</v>
      </c>
      <c r="AH67" s="304"/>
      <c r="AI67" s="1849"/>
      <c r="AJ67" s="302">
        <f>ROUND(AD67-AG67,1)</f>
        <v>-5.0999999999999996</v>
      </c>
      <c r="AK67" s="624"/>
      <c r="AL67" s="522">
        <f>ROUND(SUM(AD67-AG67)/ABS(AG67),3)</f>
        <v>-4.4999999999999998E-2</v>
      </c>
    </row>
    <row r="68" spans="1:39" ht="15.75">
      <c r="A68" s="218"/>
      <c r="B68" s="218"/>
      <c r="C68" s="218"/>
      <c r="D68" s="296"/>
      <c r="E68" s="1758"/>
      <c r="F68" s="1544"/>
      <c r="G68" s="1758"/>
      <c r="H68" s="1544"/>
      <c r="I68" s="1758"/>
      <c r="J68" s="1544"/>
      <c r="K68" s="1758"/>
      <c r="L68" s="254"/>
      <c r="M68" s="277"/>
      <c r="N68" s="254"/>
      <c r="O68" s="277"/>
      <c r="P68" s="254"/>
      <c r="Q68" s="277"/>
      <c r="R68" s="254"/>
      <c r="S68" s="277"/>
      <c r="T68" s="254"/>
      <c r="U68" s="277"/>
      <c r="V68" s="254"/>
      <c r="W68" s="277"/>
      <c r="X68" s="254"/>
      <c r="Y68" s="277"/>
      <c r="Z68" s="254"/>
      <c r="AA68" s="315"/>
      <c r="AB68" s="307"/>
      <c r="AC68" s="1145"/>
      <c r="AD68" s="1758" t="s">
        <v>15</v>
      </c>
      <c r="AE68" s="1815"/>
      <c r="AF68" s="1145"/>
      <c r="AG68" s="315"/>
      <c r="AH68" s="255"/>
      <c r="AI68" s="1849"/>
      <c r="AJ68" s="646"/>
      <c r="AK68" s="607"/>
      <c r="AL68" s="614"/>
    </row>
    <row r="69" spans="1:39" ht="15.75">
      <c r="A69" s="218"/>
      <c r="B69" s="216" t="s">
        <v>206</v>
      </c>
      <c r="C69" s="218"/>
      <c r="D69" s="296"/>
      <c r="E69" s="1544"/>
      <c r="F69" s="1544"/>
      <c r="G69" s="1544"/>
      <c r="H69" s="1544"/>
      <c r="I69" s="1544"/>
      <c r="J69" s="1544"/>
      <c r="K69" s="1544"/>
      <c r="L69" s="254"/>
      <c r="M69" s="254"/>
      <c r="N69" s="254"/>
      <c r="O69" s="254"/>
      <c r="P69" s="254"/>
      <c r="Q69" s="254"/>
      <c r="R69" s="254"/>
      <c r="S69" s="254"/>
      <c r="T69" s="254"/>
      <c r="U69" s="254"/>
      <c r="V69" s="254"/>
      <c r="W69" s="254"/>
      <c r="X69" s="254"/>
      <c r="Y69" s="254"/>
      <c r="Z69" s="254"/>
      <c r="AA69" s="307"/>
      <c r="AB69" s="307"/>
      <c r="AC69" s="1145"/>
      <c r="AD69" s="646" t="s">
        <v>15</v>
      </c>
      <c r="AE69" s="1815"/>
      <c r="AF69" s="255"/>
      <c r="AG69" s="646"/>
      <c r="AH69" s="646"/>
      <c r="AI69" s="1860"/>
      <c r="AJ69" s="646"/>
      <c r="AK69" s="607"/>
      <c r="AL69" s="614"/>
    </row>
    <row r="70" spans="1:39" ht="15.75">
      <c r="A70" s="218"/>
      <c r="B70" s="216" t="s">
        <v>207</v>
      </c>
      <c r="C70" s="218"/>
      <c r="D70" s="296"/>
      <c r="E70" s="301">
        <f>ROUND(E46-E67,1)</f>
        <v>-48.9</v>
      </c>
      <c r="F70" s="301"/>
      <c r="G70" s="301">
        <f>ROUND(G46-G67,1)</f>
        <v>0</v>
      </c>
      <c r="H70" s="301"/>
      <c r="I70" s="301">
        <f>ROUND(I46-I67,1)</f>
        <v>0</v>
      </c>
      <c r="J70" s="301"/>
      <c r="K70" s="301">
        <f>ROUND(K46-K67,1)</f>
        <v>0</v>
      </c>
      <c r="L70" s="250"/>
      <c r="M70" s="250">
        <f>ROUND(M46-M67,1)</f>
        <v>0</v>
      </c>
      <c r="N70" s="250"/>
      <c r="O70" s="250">
        <f>ROUND(O46-O67,1)</f>
        <v>0</v>
      </c>
      <c r="P70" s="250"/>
      <c r="Q70" s="250">
        <f>ROUND(Q46-Q67,1)</f>
        <v>0</v>
      </c>
      <c r="R70" s="250"/>
      <c r="S70" s="250">
        <f>ROUND(S46-S67,1)</f>
        <v>0</v>
      </c>
      <c r="T70" s="250"/>
      <c r="U70" s="1587">
        <f>ROUND(U46-U67,1)</f>
        <v>0</v>
      </c>
      <c r="V70" s="250"/>
      <c r="W70" s="250">
        <f>ROUND(W46-W67,1)</f>
        <v>0</v>
      </c>
      <c r="X70" s="250"/>
      <c r="Y70" s="250">
        <f>ROUND(Y46-Y67,1)</f>
        <v>0</v>
      </c>
      <c r="Z70" s="250"/>
      <c r="AA70" s="301">
        <f>ROUND(AA46-AA67,1)</f>
        <v>0</v>
      </c>
      <c r="AB70" s="301"/>
      <c r="AC70" s="1146"/>
      <c r="AD70" s="301">
        <f>ROUND(SUM(AD46-AD67),1)</f>
        <v>-48.9</v>
      </c>
      <c r="AE70" s="1820"/>
      <c r="AF70" s="1146"/>
      <c r="AG70" s="301">
        <f>ROUND(SUM(AG46-AG67),1)</f>
        <v>24</v>
      </c>
      <c r="AH70" s="304"/>
      <c r="AI70" s="1849"/>
      <c r="AJ70" s="302">
        <f>ROUND(AD70-AG70,1)</f>
        <v>-72.900000000000006</v>
      </c>
      <c r="AK70" s="624"/>
      <c r="AL70" s="2353">
        <f>ROUND(SUM(AD70-AG70)/ABS(AG70),3)</f>
        <v>-3.0379999999999998</v>
      </c>
    </row>
    <row r="71" spans="1:39" ht="15.75">
      <c r="A71" s="218"/>
      <c r="B71" s="218"/>
      <c r="C71" s="218"/>
      <c r="D71" s="296"/>
      <c r="E71" s="1758"/>
      <c r="F71" s="1544"/>
      <c r="G71" s="1758"/>
      <c r="H71" s="1544"/>
      <c r="I71" s="1758"/>
      <c r="J71" s="1544"/>
      <c r="K71" s="1758"/>
      <c r="L71" s="254"/>
      <c r="M71" s="277"/>
      <c r="N71" s="254"/>
      <c r="O71" s="277"/>
      <c r="P71" s="254"/>
      <c r="Q71" s="277"/>
      <c r="R71" s="254"/>
      <c r="S71" s="277"/>
      <c r="T71" s="254"/>
      <c r="U71" s="277"/>
      <c r="V71" s="254"/>
      <c r="W71" s="277"/>
      <c r="X71" s="254"/>
      <c r="Y71" s="277"/>
      <c r="Z71" s="254"/>
      <c r="AA71" s="315"/>
      <c r="AB71" s="307"/>
      <c r="AC71" s="1145"/>
      <c r="AD71" s="315"/>
      <c r="AE71" s="1815"/>
      <c r="AF71" s="1145"/>
      <c r="AG71" s="315"/>
      <c r="AH71" s="255"/>
      <c r="AI71" s="1849"/>
      <c r="AJ71" s="646"/>
      <c r="AK71" s="607"/>
      <c r="AL71" s="614"/>
    </row>
    <row r="72" spans="1:39" ht="15.75">
      <c r="A72" s="218"/>
      <c r="B72" s="216" t="s">
        <v>208</v>
      </c>
      <c r="C72" s="218"/>
      <c r="D72" s="296"/>
      <c r="E72" s="1544"/>
      <c r="F72" s="1544"/>
      <c r="G72" s="1544"/>
      <c r="H72" s="1544"/>
      <c r="I72" s="1544"/>
      <c r="J72" s="1544"/>
      <c r="K72" s="1544"/>
      <c r="L72" s="254"/>
      <c r="M72" s="254"/>
      <c r="N72" s="254"/>
      <c r="O72" s="254"/>
      <c r="P72" s="254"/>
      <c r="Q72" s="254"/>
      <c r="R72" s="254"/>
      <c r="S72" s="254"/>
      <c r="T72" s="254"/>
      <c r="U72" s="254"/>
      <c r="V72" s="254"/>
      <c r="W72" s="254" t="s">
        <v>15</v>
      </c>
      <c r="X72" s="254"/>
      <c r="Y72" s="254"/>
      <c r="Z72" s="254"/>
      <c r="AA72" s="307"/>
      <c r="AB72" s="307"/>
      <c r="AC72" s="1145"/>
      <c r="AD72" s="316"/>
      <c r="AE72" s="1815"/>
      <c r="AF72" s="1145"/>
      <c r="AG72" s="316"/>
      <c r="AH72" s="316"/>
      <c r="AI72" s="1857"/>
      <c r="AJ72" s="646"/>
      <c r="AK72" s="607"/>
      <c r="AL72" s="614"/>
    </row>
    <row r="73" spans="1:39" s="1828" customFormat="1" ht="15.75">
      <c r="A73" s="296"/>
      <c r="B73" s="2845" t="s">
        <v>217</v>
      </c>
      <c r="C73" s="296"/>
      <c r="D73" s="296"/>
      <c r="E73" s="2515">
        <f>$AD73</f>
        <v>0</v>
      </c>
      <c r="F73" s="1544"/>
      <c r="G73" s="2515"/>
      <c r="H73" s="1544"/>
      <c r="I73" s="2515"/>
      <c r="J73" s="1544"/>
      <c r="K73" s="2515"/>
      <c r="L73" s="1544"/>
      <c r="M73" s="2515"/>
      <c r="N73" s="1544"/>
      <c r="O73" s="2515"/>
      <c r="P73" s="1544"/>
      <c r="Q73" s="2515"/>
      <c r="R73" s="1544"/>
      <c r="S73" s="2515"/>
      <c r="T73" s="2515"/>
      <c r="U73" s="2515"/>
      <c r="V73" s="1544"/>
      <c r="W73" s="2515"/>
      <c r="X73" s="1544"/>
      <c r="Y73" s="2515"/>
      <c r="Z73" s="1544"/>
      <c r="AA73" s="2515"/>
      <c r="AB73" s="1544"/>
      <c r="AC73" s="2294"/>
      <c r="AD73" s="2515">
        <v>0</v>
      </c>
      <c r="AE73" s="2841"/>
      <c r="AF73" s="1740"/>
      <c r="AG73" s="2515">
        <v>0</v>
      </c>
      <c r="AH73" s="308"/>
      <c r="AI73" s="1816"/>
      <c r="AJ73" s="3206">
        <f>-ROUND(AD73-AG73,1)</f>
        <v>0</v>
      </c>
      <c r="AK73" s="1846"/>
      <c r="AL73" s="2846">
        <f>ROUND(IF(AG73=0,0,AJ73/ABS(AG73)),3)</f>
        <v>0</v>
      </c>
      <c r="AM73" s="1846"/>
    </row>
    <row r="74" spans="1:39" s="1828" customFormat="1" ht="15.75">
      <c r="A74" s="296"/>
      <c r="B74" s="2845" t="s">
        <v>218</v>
      </c>
      <c r="C74" s="296"/>
      <c r="D74" s="296"/>
      <c r="E74" s="2515">
        <f>$AD74</f>
        <v>0</v>
      </c>
      <c r="F74" s="1544"/>
      <c r="G74" s="2515"/>
      <c r="H74" s="1544"/>
      <c r="I74" s="2515"/>
      <c r="J74" s="1544"/>
      <c r="K74" s="2515"/>
      <c r="L74" s="1544"/>
      <c r="M74" s="2515"/>
      <c r="N74" s="1544"/>
      <c r="O74" s="2515"/>
      <c r="P74" s="1544"/>
      <c r="Q74" s="2515"/>
      <c r="R74" s="1544"/>
      <c r="S74" s="2515"/>
      <c r="T74" s="2515"/>
      <c r="U74" s="2515"/>
      <c r="V74" s="1544"/>
      <c r="W74" s="2515"/>
      <c r="X74" s="1544"/>
      <c r="Y74" s="2515"/>
      <c r="Z74" s="1544"/>
      <c r="AA74" s="2515"/>
      <c r="AB74" s="1544"/>
      <c r="AC74" s="2294"/>
      <c r="AD74" s="2847">
        <v>0</v>
      </c>
      <c r="AE74" s="2841"/>
      <c r="AF74" s="1740"/>
      <c r="AG74" s="2847">
        <v>0</v>
      </c>
      <c r="AH74" s="255"/>
      <c r="AI74" s="1849"/>
      <c r="AJ74" s="1867">
        <f>-ROUND(AD74-AG74,1)</f>
        <v>0</v>
      </c>
      <c r="AK74" s="1846"/>
      <c r="AL74" s="2849">
        <f>ROUND(IF(AG74=0,0,AJ74/ABS(AG74)),3)</f>
        <v>0</v>
      </c>
    </row>
    <row r="75" spans="1:39" ht="15.75">
      <c r="A75" s="218"/>
      <c r="B75" s="218"/>
      <c r="C75" s="218"/>
      <c r="D75" s="296"/>
      <c r="E75" s="315"/>
      <c r="F75" s="307"/>
      <c r="G75" s="315"/>
      <c r="H75" s="307"/>
      <c r="I75" s="315"/>
      <c r="J75" s="307"/>
      <c r="K75" s="315"/>
      <c r="L75" s="254"/>
      <c r="M75" s="277"/>
      <c r="N75" s="254"/>
      <c r="O75" s="277"/>
      <c r="P75" s="254"/>
      <c r="Q75" s="277"/>
      <c r="R75" s="254"/>
      <c r="S75" s="277"/>
      <c r="T75" s="254"/>
      <c r="U75" s="277"/>
      <c r="V75" s="254"/>
      <c r="W75" s="406"/>
      <c r="X75" s="254"/>
      <c r="Y75" s="277"/>
      <c r="Z75" s="254"/>
      <c r="AA75" s="315"/>
      <c r="AB75" s="307"/>
      <c r="AC75" s="1145"/>
      <c r="AD75" s="646"/>
      <c r="AE75" s="1815"/>
      <c r="AF75" s="1145"/>
      <c r="AG75" s="646"/>
      <c r="AH75" s="646"/>
      <c r="AI75" s="1860"/>
      <c r="AJ75" s="1868"/>
      <c r="AK75" s="647"/>
      <c r="AL75" s="2354"/>
      <c r="AM75" s="607"/>
    </row>
    <row r="76" spans="1:39" ht="15.75">
      <c r="A76" s="218"/>
      <c r="B76" s="216" t="s">
        <v>211</v>
      </c>
      <c r="C76" s="218"/>
      <c r="D76" s="296"/>
      <c r="E76" s="1862">
        <f>ROUND(SUM(E73:E75),1)</f>
        <v>0</v>
      </c>
      <c r="F76" s="307"/>
      <c r="G76" s="1862">
        <f>ROUND(SUM(G73:G75),1)</f>
        <v>0</v>
      </c>
      <c r="H76" s="307"/>
      <c r="I76" s="1862">
        <f>ROUND(SUM(I73:I75),1)</f>
        <v>0</v>
      </c>
      <c r="J76" s="307"/>
      <c r="K76" s="1862">
        <f>ROUND(SUM(K73:K75),1)</f>
        <v>0</v>
      </c>
      <c r="L76" s="254"/>
      <c r="M76" s="516">
        <f>ROUND(SUM(M73:M75),1)</f>
        <v>0</v>
      </c>
      <c r="N76" s="254"/>
      <c r="O76" s="516">
        <f>ROUND(SUM(O73:O75),1)</f>
        <v>0</v>
      </c>
      <c r="P76" s="254"/>
      <c r="Q76" s="516">
        <f>ROUND(SUM(Q73:Q75),1)</f>
        <v>0</v>
      </c>
      <c r="R76" s="257"/>
      <c r="S76" s="516">
        <f>ROUND(SUM(S73:S75),1)</f>
        <v>0</v>
      </c>
      <c r="T76" s="254"/>
      <c r="U76" s="516">
        <f>ROUND(SUM(U73:U75),1)</f>
        <v>0</v>
      </c>
      <c r="V76" s="254"/>
      <c r="W76" s="516">
        <f>ROUND(SUM(W73:W75),1)</f>
        <v>0</v>
      </c>
      <c r="X76" s="254"/>
      <c r="Y76" s="516">
        <f>ROUND(SUM(Y73:Y75),1)</f>
        <v>0</v>
      </c>
      <c r="Z76" s="265"/>
      <c r="AA76" s="1862">
        <f>ROUND(SUM(AA73:AA75),1)</f>
        <v>0</v>
      </c>
      <c r="AB76" s="307"/>
      <c r="AC76" s="1145"/>
      <c r="AD76" s="1862">
        <f>ROUND(SUM(AD73:AD75),1)</f>
        <v>0</v>
      </c>
      <c r="AE76" s="1815"/>
      <c r="AF76" s="1145"/>
      <c r="AG76" s="1862">
        <f>ROUND(SUM(AG73:AG75),1)</f>
        <v>0</v>
      </c>
      <c r="AH76" s="255"/>
      <c r="AI76" s="1849"/>
      <c r="AJ76" s="1862">
        <f>ROUND(SUM(AJ73:AJ75),1)</f>
        <v>0</v>
      </c>
      <c r="AK76" s="647"/>
      <c r="AL76" s="2315">
        <f>ROUND(IF(AG76=0,0,AJ76/ABS(AG76)),3)</f>
        <v>0</v>
      </c>
    </row>
    <row r="77" spans="1:39" ht="15.75">
      <c r="A77" s="218"/>
      <c r="B77" s="218"/>
      <c r="C77" s="218"/>
      <c r="D77" s="296"/>
      <c r="E77" s="315"/>
      <c r="F77" s="307"/>
      <c r="G77" s="315"/>
      <c r="H77" s="307"/>
      <c r="I77" s="315"/>
      <c r="J77" s="307"/>
      <c r="K77" s="315"/>
      <c r="L77" s="254"/>
      <c r="M77" s="277"/>
      <c r="N77" s="254"/>
      <c r="O77" s="277"/>
      <c r="P77" s="254"/>
      <c r="Q77" s="277"/>
      <c r="R77" s="254"/>
      <c r="S77" s="277"/>
      <c r="T77" s="254"/>
      <c r="U77" s="277"/>
      <c r="V77" s="254"/>
      <c r="W77" s="277"/>
      <c r="X77" s="254"/>
      <c r="Y77" s="277"/>
      <c r="Z77" s="254"/>
      <c r="AA77" s="315"/>
      <c r="AB77" s="307"/>
      <c r="AC77" s="1145"/>
      <c r="AD77" s="315"/>
      <c r="AE77" s="1815"/>
      <c r="AF77" s="1145"/>
      <c r="AG77" s="315"/>
      <c r="AH77" s="255"/>
      <c r="AI77" s="1849"/>
      <c r="AJ77" s="315"/>
      <c r="AK77" s="607"/>
      <c r="AL77" s="2355"/>
    </row>
    <row r="78" spans="1:39" ht="15.75">
      <c r="A78" s="218"/>
      <c r="B78" s="216" t="s">
        <v>212</v>
      </c>
      <c r="C78" s="218"/>
      <c r="D78" s="296"/>
      <c r="E78" s="307" t="s">
        <v>15</v>
      </c>
      <c r="F78" s="307" t="s">
        <v>15</v>
      </c>
      <c r="G78" s="307" t="s">
        <v>15</v>
      </c>
      <c r="H78" s="307"/>
      <c r="I78" s="307" t="s">
        <v>15</v>
      </c>
      <c r="J78" s="307"/>
      <c r="K78" s="307" t="s">
        <v>15</v>
      </c>
      <c r="L78" s="254"/>
      <c r="M78" s="254" t="s">
        <v>15</v>
      </c>
      <c r="N78" s="254"/>
      <c r="O78" s="254" t="s">
        <v>15</v>
      </c>
      <c r="P78" s="254"/>
      <c r="Q78" s="254" t="s">
        <v>15</v>
      </c>
      <c r="R78" s="254"/>
      <c r="S78" s="254" t="s">
        <v>15</v>
      </c>
      <c r="T78" s="254"/>
      <c r="U78" s="254" t="s">
        <v>15</v>
      </c>
      <c r="V78" s="254"/>
      <c r="W78" s="254" t="s">
        <v>15</v>
      </c>
      <c r="X78" s="254"/>
      <c r="Y78" s="254" t="s">
        <v>15</v>
      </c>
      <c r="Z78" s="254"/>
      <c r="AA78" s="307" t="s">
        <v>15</v>
      </c>
      <c r="AB78" s="307"/>
      <c r="AC78" s="1145"/>
      <c r="AD78" s="307"/>
      <c r="AE78" s="1815"/>
      <c r="AF78" s="1145"/>
      <c r="AG78" s="307"/>
      <c r="AH78" s="307"/>
      <c r="AI78" s="1849"/>
      <c r="AJ78" s="646"/>
      <c r="AK78" s="607"/>
      <c r="AL78" s="614"/>
    </row>
    <row r="79" spans="1:39" ht="15.75">
      <c r="A79" s="218"/>
      <c r="B79" s="216" t="s">
        <v>213</v>
      </c>
      <c r="C79" s="218"/>
      <c r="D79" s="296"/>
      <c r="E79" s="307"/>
      <c r="F79" s="307"/>
      <c r="G79" s="307" t="s">
        <v>15</v>
      </c>
      <c r="H79" s="307"/>
      <c r="I79" s="307" t="s">
        <v>15</v>
      </c>
      <c r="J79" s="307"/>
      <c r="K79" s="307" t="s">
        <v>15</v>
      </c>
      <c r="L79" s="254"/>
      <c r="M79" s="254" t="s">
        <v>15</v>
      </c>
      <c r="N79" s="254"/>
      <c r="O79" s="254" t="s">
        <v>15</v>
      </c>
      <c r="P79" s="254"/>
      <c r="Q79" s="254" t="s">
        <v>15</v>
      </c>
      <c r="R79" s="254"/>
      <c r="S79" s="254" t="s">
        <v>15</v>
      </c>
      <c r="T79" s="254"/>
      <c r="U79" s="254" t="s">
        <v>15</v>
      </c>
      <c r="V79" s="254"/>
      <c r="W79" s="254" t="s">
        <v>15</v>
      </c>
      <c r="X79" s="254"/>
      <c r="Y79" s="254" t="s">
        <v>15</v>
      </c>
      <c r="Z79" s="254"/>
      <c r="AA79" s="307" t="s">
        <v>15</v>
      </c>
      <c r="AB79" s="307"/>
      <c r="AC79" s="1145"/>
      <c r="AD79" s="307"/>
      <c r="AE79" s="1815"/>
      <c r="AF79" s="1145"/>
      <c r="AG79" s="307"/>
      <c r="AH79" s="307"/>
      <c r="AI79" s="1849"/>
      <c r="AJ79" s="646"/>
      <c r="AK79" s="607"/>
      <c r="AL79" s="614"/>
    </row>
    <row r="80" spans="1:39" ht="15.75">
      <c r="A80" s="218"/>
      <c r="B80" s="216" t="s">
        <v>170</v>
      </c>
      <c r="C80" s="218"/>
      <c r="D80" s="296"/>
      <c r="E80" s="1856">
        <f>ROUND(E70+E76,1)</f>
        <v>-48.9</v>
      </c>
      <c r="F80" s="255"/>
      <c r="G80" s="1856">
        <f>ROUND(G70+G76,1)</f>
        <v>0</v>
      </c>
      <c r="H80" s="255"/>
      <c r="I80" s="1856">
        <f>ROUND(I70+I76,1)</f>
        <v>0</v>
      </c>
      <c r="J80" s="255"/>
      <c r="K80" s="1856">
        <f>ROUND(K70+K76,1)</f>
        <v>0</v>
      </c>
      <c r="L80" s="243"/>
      <c r="M80" s="1856">
        <f>ROUND(M70+M76,1)</f>
        <v>0</v>
      </c>
      <c r="N80" s="243"/>
      <c r="O80" s="1856">
        <f>ROUND(O70+O76,1)</f>
        <v>0</v>
      </c>
      <c r="P80" s="243"/>
      <c r="Q80" s="1856">
        <f>ROUND(Q70+Q76,1)</f>
        <v>0</v>
      </c>
      <c r="R80" s="243"/>
      <c r="S80" s="1856">
        <f>ROUND(S70+S76,1)</f>
        <v>0</v>
      </c>
      <c r="T80" s="243"/>
      <c r="U80" s="1856">
        <f>ROUND(U70+U76,1)</f>
        <v>0</v>
      </c>
      <c r="V80" s="243"/>
      <c r="W80" s="1856">
        <f>ROUND(W70+W76,1)</f>
        <v>0</v>
      </c>
      <c r="X80" s="243"/>
      <c r="Y80" s="1856">
        <f>ROUND(Y70+Y76,1)</f>
        <v>0</v>
      </c>
      <c r="Z80" s="243"/>
      <c r="AA80" s="1856">
        <f>ROUND(AA70+AA76,1)</f>
        <v>0</v>
      </c>
      <c r="AB80" s="255"/>
      <c r="AC80" s="1794"/>
      <c r="AD80" s="1856">
        <f>ROUND(AD70+AD76,1)</f>
        <v>-48.9</v>
      </c>
      <c r="AE80" s="3072"/>
      <c r="AF80" s="3076"/>
      <c r="AG80" s="1856">
        <f>ROUND(AG70+AG76,1)</f>
        <v>24</v>
      </c>
      <c r="AH80" s="3073"/>
      <c r="AI80" s="3074"/>
      <c r="AJ80" s="1856">
        <f>ROUND(AD80-AG80,1)</f>
        <v>-72.900000000000006</v>
      </c>
      <c r="AK80" s="630"/>
      <c r="AL80" s="2353">
        <f>ROUND(SUM(AD80-AG80)/ABS(AG80),3)</f>
        <v>-3.0379999999999998</v>
      </c>
      <c r="AM80" s="1561"/>
    </row>
    <row r="81" spans="1:39" ht="15.75">
      <c r="A81" s="218"/>
      <c r="B81" s="216"/>
      <c r="C81" s="218"/>
      <c r="D81" s="296"/>
      <c r="E81" s="328"/>
      <c r="F81" s="307"/>
      <c r="G81" s="328"/>
      <c r="H81" s="307"/>
      <c r="I81" s="328"/>
      <c r="J81" s="307"/>
      <c r="K81" s="328"/>
      <c r="L81" s="254"/>
      <c r="M81" s="328"/>
      <c r="N81" s="254"/>
      <c r="O81" s="328"/>
      <c r="P81" s="254"/>
      <c r="Q81" s="328"/>
      <c r="R81" s="254"/>
      <c r="S81" s="328"/>
      <c r="T81" s="254"/>
      <c r="U81" s="328"/>
      <c r="V81" s="254"/>
      <c r="W81" s="328"/>
      <c r="X81" s="254"/>
      <c r="Y81" s="328"/>
      <c r="Z81" s="254"/>
      <c r="AA81" s="328"/>
      <c r="AB81" s="307"/>
      <c r="AC81" s="1794"/>
      <c r="AD81" s="328"/>
      <c r="AE81" s="3071"/>
      <c r="AF81" s="3077"/>
      <c r="AG81" s="328"/>
      <c r="AH81" s="2246"/>
      <c r="AI81" s="2247"/>
      <c r="AJ81" s="328"/>
      <c r="AK81" s="624"/>
      <c r="AL81" s="2389"/>
      <c r="AM81" s="1561"/>
    </row>
    <row r="82" spans="1:39" ht="16.5" thickBot="1">
      <c r="A82" s="218"/>
      <c r="B82" s="216" t="s">
        <v>1312</v>
      </c>
      <c r="C82" s="218"/>
      <c r="D82" s="296"/>
      <c r="E82" s="3075">
        <f>ROUND(SUM(E14+E80),1)</f>
        <v>-631.70000000000005</v>
      </c>
      <c r="F82" s="307"/>
      <c r="G82" s="3075">
        <f>ROUND(SUM(G14+G80),1)</f>
        <v>0</v>
      </c>
      <c r="H82" s="307"/>
      <c r="I82" s="3075">
        <f>ROUND(SUM(I14+I80),1)</f>
        <v>0</v>
      </c>
      <c r="J82" s="307"/>
      <c r="K82" s="3075">
        <f>ROUND(SUM(K14+K80),1)</f>
        <v>0</v>
      </c>
      <c r="L82" s="254"/>
      <c r="M82" s="3075">
        <f>ROUND(SUM(M14+M80),1)</f>
        <v>0</v>
      </c>
      <c r="N82" s="254"/>
      <c r="O82" s="3075">
        <f>ROUND(SUM(O14+O80),1)</f>
        <v>0</v>
      </c>
      <c r="P82" s="254"/>
      <c r="Q82" s="3075">
        <f>ROUND(SUM(Q14+Q80),1)</f>
        <v>0</v>
      </c>
      <c r="R82" s="254"/>
      <c r="S82" s="3075">
        <f>ROUND(SUM(S14+S80),1)</f>
        <v>0</v>
      </c>
      <c r="T82" s="254"/>
      <c r="U82" s="3075">
        <f>ROUND(SUM(U14+U80),1)</f>
        <v>0</v>
      </c>
      <c r="V82" s="254"/>
      <c r="W82" s="3075">
        <f>ROUND(SUM(W14+W80),1)</f>
        <v>0</v>
      </c>
      <c r="X82" s="254"/>
      <c r="Y82" s="3075">
        <f>ROUND(SUM(Y14+Y80),1)</f>
        <v>0</v>
      </c>
      <c r="Z82" s="254"/>
      <c r="AA82" s="3075">
        <f>ROUND(SUM(AA14+AA80),1)</f>
        <v>0</v>
      </c>
      <c r="AB82" s="307"/>
      <c r="AC82" s="1794"/>
      <c r="AD82" s="3075">
        <f>ROUND(SUM(AD14+AD80),1)</f>
        <v>-631.70000000000005</v>
      </c>
      <c r="AE82" s="3071"/>
      <c r="AF82" s="3077"/>
      <c r="AG82" s="3075">
        <f>ROUND(SUM(AG14+AG80),1)</f>
        <v>-545.6</v>
      </c>
      <c r="AH82" s="2246"/>
      <c r="AI82" s="2247"/>
      <c r="AJ82" s="3075">
        <f>ROUND(SUM(AJ14+AJ80),1)</f>
        <v>-86.1</v>
      </c>
      <c r="AK82" s="624"/>
      <c r="AL82" s="3454">
        <f>ROUND(SUM(AD82-AG82)/ABS(AG82),3)</f>
        <v>-0.158</v>
      </c>
      <c r="AM82" s="1561"/>
    </row>
    <row r="83" spans="1:39" ht="16.5" thickTop="1">
      <c r="A83" s="218"/>
      <c r="B83" s="218"/>
      <c r="C83" s="218"/>
      <c r="D83" s="296"/>
      <c r="E83" s="306"/>
      <c r="F83" s="306"/>
      <c r="G83" s="306"/>
      <c r="H83" s="306"/>
      <c r="I83" s="306"/>
      <c r="J83" s="306"/>
      <c r="K83" s="306"/>
      <c r="L83" s="247"/>
      <c r="M83" s="247"/>
      <c r="N83" s="247"/>
      <c r="O83" s="247"/>
      <c r="P83" s="247"/>
      <c r="Q83" s="247"/>
      <c r="R83" s="247"/>
      <c r="S83" s="247"/>
      <c r="T83" s="247"/>
      <c r="U83" s="247"/>
      <c r="V83" s="247"/>
      <c r="W83" s="247"/>
      <c r="X83" s="247"/>
      <c r="Y83" s="247"/>
      <c r="Z83" s="247"/>
      <c r="AA83" s="306"/>
      <c r="AB83" s="306"/>
      <c r="AC83" s="306"/>
      <c r="AD83" s="306"/>
      <c r="AE83" s="306"/>
      <c r="AF83" s="306"/>
      <c r="AG83" s="306"/>
      <c r="AH83" s="306"/>
      <c r="AI83" s="1869"/>
      <c r="AJ83" s="1846"/>
      <c r="AK83" s="607"/>
      <c r="AL83" s="2588"/>
    </row>
    <row r="84" spans="1:39">
      <c r="A84" s="218"/>
      <c r="B84" s="2373"/>
      <c r="C84" s="218"/>
      <c r="D84" s="296"/>
      <c r="E84" s="298"/>
      <c r="F84" s="296"/>
      <c r="G84" s="298"/>
      <c r="H84" s="296"/>
      <c r="I84" s="298"/>
      <c r="J84" s="296"/>
      <c r="K84" s="298"/>
      <c r="L84" s="218"/>
      <c r="M84" s="223"/>
      <c r="N84" s="218"/>
      <c r="O84" s="223"/>
      <c r="P84" s="218"/>
      <c r="Q84" s="223"/>
      <c r="R84" s="218"/>
      <c r="S84" s="508" t="s">
        <v>15</v>
      </c>
      <c r="T84" s="218"/>
      <c r="U84" s="508" t="s">
        <v>15</v>
      </c>
      <c r="V84" s="218"/>
      <c r="W84" s="223"/>
      <c r="X84" s="218"/>
      <c r="Y84" s="223"/>
      <c r="Z84" s="218"/>
      <c r="AA84" s="298"/>
      <c r="AB84" s="296"/>
      <c r="AC84" s="296"/>
      <c r="AD84" s="298"/>
      <c r="AE84" s="296"/>
      <c r="AF84" s="296"/>
      <c r="AG84" s="298"/>
      <c r="AH84" s="298"/>
      <c r="AI84" s="298"/>
      <c r="AJ84" s="1846"/>
      <c r="AK84" s="607"/>
      <c r="AL84" s="614"/>
    </row>
    <row r="85" spans="1:39">
      <c r="B85" s="218"/>
      <c r="Y85" s="638" t="s">
        <v>15</v>
      </c>
      <c r="AI85" s="1846"/>
      <c r="AJ85" s="1828" t="s">
        <v>15</v>
      </c>
      <c r="AK85" s="607"/>
      <c r="AL85" s="648"/>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D10:AL10"/>
  </mergeCells>
  <pageMargins left="0.3" right="0.25" top="0.51" bottom="0.25" header="0" footer="0.25"/>
  <pageSetup scale="39" firstPageNumber="33" orientation="landscape" useFirstPageNumber="1" r:id="rId2"/>
  <headerFooter scaleWithDoc="0" alignWithMargins="0">
    <oddFooter>&amp;C&amp;8&amp;P</oddFooter>
  </headerFooter>
  <ignoredErrors>
    <ignoredError sqref="AL21:AL33 AL42 AL44 AL62:AL65 AL73 AL51:AL54 AL50 AL57:AL58 AL35:AL40" unlockedFormula="1"/>
    <ignoredError sqref="AL41" formula="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60" zoomScaleNormal="60" workbookViewId="0"/>
  </sheetViews>
  <sheetFormatPr defaultColWidth="8.88671875" defaultRowHeight="16.5" customHeight="1"/>
  <cols>
    <col min="1" max="1" width="45.109375" style="291" customWidth="1"/>
    <col min="2" max="2" width="1.6640625" style="291" customWidth="1"/>
    <col min="3" max="3" width="9.88671875" style="291" customWidth="1"/>
    <col min="4" max="4" width="1.6640625" style="291" customWidth="1"/>
    <col min="5" max="5" width="10" style="291" customWidth="1"/>
    <col min="6" max="6" width="1.6640625" style="291" customWidth="1"/>
    <col min="7" max="7" width="9.77734375" style="291" customWidth="1"/>
    <col min="8" max="8" width="1.6640625" style="291" customWidth="1"/>
    <col min="9" max="9" width="8.88671875" style="291" customWidth="1"/>
    <col min="10" max="10" width="1.5546875" style="291" customWidth="1"/>
    <col min="11" max="11" width="9.44140625" style="291" customWidth="1"/>
    <col min="12" max="12" width="1.5546875" style="291" customWidth="1"/>
    <col min="13" max="13" width="13.33203125" style="291" customWidth="1"/>
    <col min="14" max="14" width="1.6640625" style="291" customWidth="1"/>
    <col min="15" max="15" width="11.77734375" style="291" customWidth="1"/>
    <col min="16" max="16" width="1.6640625" style="291" customWidth="1"/>
    <col min="17" max="17" width="11.77734375" style="291" customWidth="1"/>
    <col min="18" max="18" width="1.6640625" style="291" customWidth="1"/>
    <col min="19" max="19" width="12.44140625" style="291" customWidth="1"/>
    <col min="20" max="20" width="1.6640625" style="291" customWidth="1"/>
    <col min="21" max="21" width="10.5546875" style="291" customWidth="1"/>
    <col min="22" max="22" width="1.6640625" style="291" customWidth="1"/>
    <col min="23" max="23" width="10.88671875" style="291" customWidth="1"/>
    <col min="24" max="24" width="1.6640625" style="291" customWidth="1"/>
    <col min="25" max="25" width="10.109375" style="291" customWidth="1"/>
    <col min="26" max="27" width="1.6640625" style="291" customWidth="1"/>
    <col min="28" max="28" width="11.5546875" style="291" customWidth="1"/>
    <col min="29" max="30" width="1.6640625" style="291" customWidth="1"/>
    <col min="31" max="31" width="12.44140625" style="291" customWidth="1"/>
    <col min="32" max="32" width="1.77734375" style="689" customWidth="1"/>
    <col min="33" max="33" width="2.44140625" style="1906" customWidth="1"/>
    <col min="34" max="34" width="10.33203125" style="1907" bestFit="1" customWidth="1"/>
    <col min="35" max="35" width="1.6640625" style="1907" customWidth="1"/>
    <col min="36" max="36" width="14.21875" style="1906" bestFit="1" customWidth="1"/>
    <col min="37" max="16384" width="8.88671875" style="291"/>
  </cols>
  <sheetData>
    <row r="1" spans="1:254" ht="16.5" customHeight="1">
      <c r="A1" s="1052" t="s">
        <v>1064</v>
      </c>
    </row>
    <row r="2" spans="1:254" ht="16.5" customHeight="1">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row>
    <row r="3" spans="1:254" ht="20.25" customHeight="1">
      <c r="A3" s="413" t="s">
        <v>0</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218"/>
      <c r="AJ3" s="1954" t="s">
        <v>1192</v>
      </c>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c r="CA3" s="414"/>
      <c r="CB3" s="414"/>
      <c r="CC3" s="414"/>
      <c r="CD3" s="414"/>
      <c r="CE3" s="414"/>
      <c r="CF3" s="414"/>
      <c r="CG3" s="414"/>
      <c r="CH3" s="414"/>
      <c r="CI3" s="414"/>
      <c r="CJ3" s="414"/>
      <c r="CK3" s="414"/>
      <c r="CL3" s="414"/>
      <c r="CM3" s="414"/>
      <c r="CN3" s="414"/>
      <c r="CO3" s="414"/>
      <c r="CP3" s="414"/>
      <c r="CQ3" s="414"/>
      <c r="CR3" s="414"/>
      <c r="CS3" s="414"/>
      <c r="CT3" s="414"/>
      <c r="CU3" s="414"/>
      <c r="CV3" s="414"/>
      <c r="CW3" s="414"/>
      <c r="CX3" s="414"/>
      <c r="CY3" s="414"/>
      <c r="CZ3" s="414"/>
      <c r="DA3" s="414"/>
      <c r="DB3" s="414"/>
      <c r="DC3" s="414"/>
      <c r="DD3" s="414"/>
      <c r="DE3" s="414"/>
      <c r="DF3" s="414"/>
      <c r="DG3" s="414"/>
      <c r="DH3" s="414"/>
      <c r="DI3" s="414"/>
      <c r="DJ3" s="414"/>
      <c r="DK3" s="414"/>
      <c r="DL3" s="414"/>
      <c r="DM3" s="414"/>
      <c r="DN3" s="414"/>
      <c r="DO3" s="414"/>
      <c r="DP3" s="414"/>
      <c r="DQ3" s="414"/>
      <c r="DR3" s="414"/>
      <c r="DS3" s="414"/>
      <c r="DT3" s="414"/>
      <c r="DU3" s="414"/>
      <c r="DV3" s="414"/>
      <c r="DW3" s="414"/>
      <c r="DX3" s="414"/>
      <c r="DY3" s="414"/>
      <c r="DZ3" s="414"/>
      <c r="EA3" s="414"/>
      <c r="EB3" s="414"/>
      <c r="EC3" s="414"/>
      <c r="ED3" s="414"/>
      <c r="EE3" s="414"/>
      <c r="EF3" s="414"/>
      <c r="EG3" s="414"/>
      <c r="EH3" s="414"/>
      <c r="EI3" s="414"/>
      <c r="EJ3" s="414"/>
      <c r="EK3" s="414"/>
      <c r="EL3" s="414"/>
      <c r="EM3" s="414"/>
      <c r="EN3" s="414"/>
      <c r="EO3" s="414"/>
      <c r="EP3" s="414"/>
      <c r="EQ3" s="414"/>
      <c r="ER3" s="414"/>
      <c r="ES3" s="414"/>
      <c r="ET3" s="414"/>
      <c r="EU3" s="414"/>
      <c r="EV3" s="414"/>
      <c r="EW3" s="414"/>
      <c r="EX3" s="414"/>
      <c r="EY3" s="414"/>
      <c r="EZ3" s="414"/>
      <c r="FA3" s="414"/>
      <c r="FB3" s="414"/>
      <c r="FC3" s="414"/>
      <c r="FD3" s="414"/>
      <c r="FE3" s="414"/>
      <c r="FF3" s="414"/>
      <c r="FG3" s="414"/>
      <c r="FH3" s="414"/>
      <c r="FI3" s="414"/>
      <c r="FJ3" s="414"/>
      <c r="FK3" s="414"/>
      <c r="FL3" s="414"/>
      <c r="FM3" s="414"/>
      <c r="FN3" s="414"/>
      <c r="FO3" s="414"/>
      <c r="FP3" s="414"/>
      <c r="FQ3" s="414"/>
      <c r="FR3" s="414"/>
      <c r="FS3" s="414"/>
      <c r="FT3" s="414"/>
      <c r="FU3" s="414"/>
      <c r="FV3" s="414"/>
      <c r="FW3" s="414"/>
      <c r="FX3" s="414"/>
      <c r="FY3" s="414"/>
      <c r="FZ3" s="414"/>
      <c r="GA3" s="414"/>
      <c r="GB3" s="414"/>
      <c r="GC3" s="414"/>
      <c r="GD3" s="414"/>
      <c r="GE3" s="414"/>
      <c r="GF3" s="414"/>
      <c r="GG3" s="414"/>
      <c r="GH3" s="414"/>
      <c r="GI3" s="414"/>
      <c r="GJ3" s="414"/>
      <c r="GK3" s="414"/>
      <c r="GL3" s="414"/>
      <c r="GM3" s="414"/>
      <c r="GN3" s="414"/>
      <c r="GO3" s="414"/>
      <c r="GP3" s="414"/>
      <c r="GQ3" s="414"/>
      <c r="GR3" s="414"/>
      <c r="GS3" s="414"/>
      <c r="GT3" s="414"/>
      <c r="GU3" s="414"/>
      <c r="GV3" s="414"/>
      <c r="GW3" s="414"/>
      <c r="GX3" s="414"/>
      <c r="GY3" s="414"/>
      <c r="GZ3" s="414"/>
      <c r="HA3" s="414"/>
      <c r="HB3" s="414"/>
      <c r="HC3" s="414"/>
      <c r="HD3" s="414"/>
      <c r="HE3" s="414"/>
      <c r="HF3" s="414"/>
      <c r="HG3" s="414"/>
      <c r="HH3" s="414"/>
      <c r="HI3" s="414"/>
      <c r="HJ3" s="414"/>
      <c r="HK3" s="414"/>
      <c r="HL3" s="414"/>
      <c r="HM3" s="414"/>
      <c r="HN3" s="414"/>
      <c r="HO3" s="414"/>
      <c r="HP3" s="414"/>
      <c r="HQ3" s="414"/>
      <c r="HR3" s="414"/>
      <c r="HS3" s="414"/>
      <c r="HT3" s="414"/>
      <c r="HU3" s="414"/>
      <c r="HV3" s="414"/>
      <c r="HW3" s="414"/>
      <c r="HX3" s="414"/>
      <c r="HY3" s="414"/>
      <c r="HZ3" s="414"/>
      <c r="IA3" s="414"/>
      <c r="IB3" s="414"/>
      <c r="IC3" s="414"/>
      <c r="ID3" s="414"/>
      <c r="IE3" s="414"/>
      <c r="IF3" s="414"/>
      <c r="IG3" s="414"/>
      <c r="IH3" s="414"/>
      <c r="II3" s="414"/>
      <c r="IJ3" s="414"/>
      <c r="IK3" s="414"/>
      <c r="IL3" s="414"/>
      <c r="IM3" s="414"/>
      <c r="IN3" s="414"/>
      <c r="IO3" s="414"/>
      <c r="IP3" s="414"/>
      <c r="IQ3" s="414"/>
      <c r="IR3" s="414"/>
      <c r="IS3" s="414"/>
      <c r="IT3" s="414"/>
    </row>
    <row r="4" spans="1:254" ht="20.25" customHeight="1">
      <c r="A4" s="413" t="s">
        <v>219</v>
      </c>
      <c r="B4" s="412"/>
      <c r="C4" s="412"/>
      <c r="D4" s="412"/>
      <c r="E4" s="412"/>
      <c r="F4" s="412"/>
      <c r="G4" s="412"/>
      <c r="H4" s="412"/>
      <c r="I4" s="412" t="s">
        <v>15</v>
      </c>
      <c r="J4" s="412"/>
      <c r="K4" s="412"/>
      <c r="L4" s="412"/>
      <c r="M4" s="412"/>
      <c r="N4" s="412"/>
      <c r="O4" s="412"/>
      <c r="P4" s="412"/>
      <c r="Q4" s="412"/>
      <c r="R4" s="412"/>
      <c r="S4" s="412"/>
      <c r="T4" s="412"/>
      <c r="U4" s="412"/>
      <c r="V4" s="412"/>
      <c r="W4" s="412"/>
      <c r="X4" s="412"/>
      <c r="Y4" s="412" t="s">
        <v>15</v>
      </c>
      <c r="Z4" s="412"/>
      <c r="AA4" s="412"/>
      <c r="AB4" s="412"/>
      <c r="AC4" s="412"/>
      <c r="AD4" s="412"/>
      <c r="AE4" s="412"/>
      <c r="AF4" s="218"/>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4"/>
      <c r="CA4" s="414"/>
      <c r="CB4" s="414"/>
      <c r="CC4" s="414"/>
      <c r="CD4" s="414"/>
      <c r="CE4" s="414"/>
      <c r="CF4" s="414"/>
      <c r="CG4" s="414"/>
      <c r="CH4" s="414"/>
      <c r="CI4" s="414"/>
      <c r="CJ4" s="414"/>
      <c r="CK4" s="414"/>
      <c r="CL4" s="414"/>
      <c r="CM4" s="414"/>
      <c r="CN4" s="414"/>
      <c r="CO4" s="414"/>
      <c r="CP4" s="414"/>
      <c r="CQ4" s="414"/>
      <c r="CR4" s="414"/>
      <c r="CS4" s="414"/>
      <c r="CT4" s="414"/>
      <c r="CU4" s="414"/>
      <c r="CV4" s="414"/>
      <c r="CW4" s="414"/>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4"/>
      <c r="FV4" s="414"/>
      <c r="FW4" s="414"/>
      <c r="FX4" s="414"/>
      <c r="FY4" s="414"/>
      <c r="FZ4" s="414"/>
      <c r="GA4" s="414"/>
      <c r="GB4" s="414"/>
      <c r="GC4" s="414"/>
      <c r="GD4" s="414"/>
      <c r="GE4" s="414"/>
      <c r="GF4" s="414"/>
      <c r="GG4" s="414"/>
      <c r="GH4" s="414"/>
      <c r="GI4" s="414"/>
      <c r="GJ4" s="414"/>
      <c r="GK4" s="414"/>
      <c r="GL4" s="414"/>
      <c r="GM4" s="414"/>
      <c r="GN4" s="414"/>
      <c r="GO4" s="414"/>
      <c r="GP4" s="414"/>
      <c r="GQ4" s="414"/>
      <c r="GR4" s="414"/>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row>
    <row r="5" spans="1:254" ht="20.25" customHeight="1">
      <c r="A5" s="415" t="s">
        <v>125</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F5" s="1462"/>
      <c r="AK5" s="413"/>
      <c r="AL5" s="413"/>
      <c r="AM5" s="413"/>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4"/>
      <c r="CN5" s="414"/>
      <c r="CO5" s="414"/>
      <c r="CP5" s="414"/>
      <c r="CQ5" s="414"/>
      <c r="CR5" s="414"/>
      <c r="CS5" s="414"/>
      <c r="CT5" s="414"/>
      <c r="CU5" s="414"/>
      <c r="CV5" s="414"/>
      <c r="CW5" s="414"/>
      <c r="CX5" s="414"/>
      <c r="CY5" s="414"/>
      <c r="CZ5" s="414"/>
      <c r="DA5" s="414"/>
      <c r="DB5" s="414"/>
      <c r="DC5" s="414"/>
      <c r="DD5" s="414"/>
      <c r="DE5" s="414"/>
      <c r="DF5" s="414"/>
      <c r="DG5" s="414"/>
      <c r="DH5" s="414"/>
      <c r="DI5" s="414"/>
      <c r="DJ5" s="414"/>
      <c r="DK5" s="414"/>
      <c r="DL5" s="414"/>
      <c r="DM5" s="414"/>
      <c r="DN5" s="414"/>
      <c r="DO5" s="414"/>
      <c r="DP5" s="414"/>
      <c r="DQ5" s="414"/>
      <c r="DR5" s="414"/>
      <c r="DS5" s="414"/>
      <c r="DT5" s="414"/>
      <c r="DU5" s="414"/>
      <c r="DV5" s="414"/>
      <c r="DW5" s="414"/>
      <c r="DX5" s="414"/>
      <c r="DY5" s="414"/>
      <c r="DZ5" s="414"/>
      <c r="EA5" s="414"/>
      <c r="EB5" s="414"/>
      <c r="EC5" s="414"/>
      <c r="ED5" s="414"/>
      <c r="EE5" s="414"/>
      <c r="EF5" s="414"/>
      <c r="EG5" s="414"/>
      <c r="EH5" s="414"/>
      <c r="EI5" s="414"/>
      <c r="EJ5" s="414"/>
      <c r="EK5" s="414"/>
      <c r="EL5" s="414"/>
      <c r="EM5" s="414"/>
      <c r="EN5" s="414"/>
      <c r="EO5" s="414"/>
      <c r="EP5" s="414"/>
      <c r="EQ5" s="414"/>
      <c r="ER5" s="414"/>
      <c r="ES5" s="414"/>
      <c r="ET5" s="414"/>
      <c r="EU5" s="414"/>
      <c r="EV5" s="414"/>
      <c r="EW5" s="414"/>
      <c r="EX5" s="414"/>
      <c r="EY5" s="414"/>
      <c r="EZ5" s="414"/>
      <c r="FA5" s="414"/>
      <c r="FB5" s="414"/>
      <c r="FC5" s="414"/>
      <c r="FD5" s="414"/>
      <c r="FE5" s="414"/>
      <c r="FF5" s="414"/>
      <c r="FG5" s="414"/>
      <c r="FH5" s="414"/>
      <c r="FI5" s="414"/>
      <c r="FJ5" s="414"/>
      <c r="FK5" s="414"/>
      <c r="FL5" s="414"/>
      <c r="FM5" s="414"/>
      <c r="FN5" s="414"/>
      <c r="FO5" s="414"/>
      <c r="FP5" s="414"/>
      <c r="FQ5" s="414"/>
      <c r="FR5" s="414"/>
      <c r="FS5" s="414"/>
      <c r="FT5" s="414"/>
      <c r="FU5" s="414"/>
      <c r="FV5" s="414"/>
      <c r="FW5" s="414"/>
      <c r="FX5" s="414"/>
      <c r="FY5" s="414"/>
      <c r="FZ5" s="414"/>
      <c r="GA5" s="414"/>
      <c r="GB5" s="414"/>
      <c r="GC5" s="414"/>
      <c r="GD5" s="414"/>
      <c r="GE5" s="414"/>
      <c r="GF5" s="414"/>
      <c r="GG5" s="414"/>
      <c r="GH5" s="414"/>
      <c r="GI5" s="414"/>
      <c r="GJ5" s="414"/>
      <c r="GK5" s="414"/>
      <c r="GL5" s="414"/>
      <c r="GM5" s="414"/>
      <c r="GN5" s="414"/>
      <c r="GO5" s="414"/>
      <c r="GP5" s="414"/>
      <c r="GQ5" s="414"/>
      <c r="GR5" s="414"/>
      <c r="GS5" s="414"/>
      <c r="GT5" s="414"/>
      <c r="GU5" s="414"/>
      <c r="GV5" s="414"/>
      <c r="GW5" s="414"/>
      <c r="GX5" s="414"/>
      <c r="GY5" s="414"/>
      <c r="GZ5" s="414"/>
      <c r="HA5" s="414"/>
      <c r="HB5" s="414"/>
      <c r="HC5" s="414"/>
      <c r="HD5" s="414"/>
      <c r="HE5" s="414"/>
      <c r="HF5" s="414"/>
      <c r="HG5" s="414"/>
      <c r="HH5" s="414"/>
      <c r="HI5" s="414"/>
      <c r="HJ5" s="414"/>
      <c r="HK5" s="414"/>
      <c r="HL5" s="414"/>
      <c r="HM5" s="414"/>
      <c r="HN5" s="414"/>
      <c r="HO5" s="414"/>
      <c r="HP5" s="414"/>
      <c r="HQ5" s="414"/>
      <c r="HR5" s="414"/>
      <c r="HS5" s="414"/>
      <c r="HT5" s="414"/>
      <c r="HU5" s="414"/>
      <c r="HV5" s="414"/>
      <c r="HW5" s="414"/>
      <c r="HX5" s="414"/>
      <c r="HY5" s="414"/>
      <c r="HZ5" s="414"/>
      <c r="IA5" s="414"/>
      <c r="IB5" s="414"/>
      <c r="IC5" s="414"/>
      <c r="ID5" s="414"/>
      <c r="IE5" s="414"/>
      <c r="IF5" s="414"/>
      <c r="IG5" s="414"/>
      <c r="IH5" s="414"/>
      <c r="II5" s="414"/>
      <c r="IJ5" s="414"/>
      <c r="IK5" s="414"/>
      <c r="IL5" s="414"/>
      <c r="IM5" s="414"/>
      <c r="IN5" s="414"/>
      <c r="IO5" s="414"/>
      <c r="IP5" s="414"/>
      <c r="IQ5" s="414"/>
      <c r="IR5" s="414"/>
      <c r="IS5" s="414"/>
      <c r="IT5" s="414"/>
    </row>
    <row r="6" spans="1:254" ht="20.25" customHeight="1">
      <c r="A6" s="415" t="str">
        <f>'Cashflow Governmental'!A6</f>
        <v>FISCAL YEAR 2018-2019</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218"/>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4"/>
      <c r="CN6" s="414"/>
      <c r="CO6" s="414"/>
      <c r="CP6" s="414"/>
      <c r="CQ6" s="414"/>
      <c r="CR6" s="414"/>
      <c r="CS6" s="414"/>
      <c r="CT6" s="414"/>
      <c r="CU6" s="414"/>
      <c r="CV6" s="414"/>
      <c r="CW6" s="414"/>
      <c r="CX6" s="414"/>
      <c r="CY6" s="414"/>
      <c r="CZ6" s="414"/>
      <c r="DA6" s="414"/>
      <c r="DB6" s="414"/>
      <c r="DC6" s="414"/>
      <c r="DD6" s="414"/>
      <c r="DE6" s="414"/>
      <c r="DF6" s="414"/>
      <c r="DG6" s="414"/>
      <c r="DH6" s="414"/>
      <c r="DI6" s="414"/>
      <c r="DJ6" s="414"/>
      <c r="DK6" s="414"/>
      <c r="DL6" s="414"/>
      <c r="DM6" s="414"/>
      <c r="DN6" s="414"/>
      <c r="DO6" s="414"/>
      <c r="DP6" s="414"/>
      <c r="DQ6" s="414"/>
      <c r="DR6" s="414"/>
      <c r="DS6" s="414"/>
      <c r="DT6" s="414"/>
      <c r="DU6" s="414"/>
      <c r="DV6" s="414"/>
      <c r="DW6" s="414"/>
      <c r="DX6" s="414"/>
      <c r="DY6" s="414"/>
      <c r="DZ6" s="414"/>
      <c r="EA6" s="414"/>
      <c r="EB6" s="414"/>
      <c r="EC6" s="414"/>
      <c r="ED6" s="414"/>
      <c r="EE6" s="414"/>
      <c r="EF6" s="414"/>
      <c r="EG6" s="414"/>
      <c r="EH6" s="414"/>
      <c r="EI6" s="414"/>
      <c r="EJ6" s="414"/>
      <c r="EK6" s="414"/>
      <c r="EL6" s="414"/>
      <c r="EM6" s="414"/>
      <c r="EN6" s="414"/>
      <c r="EO6" s="414"/>
      <c r="EP6" s="414"/>
      <c r="EQ6" s="414"/>
      <c r="ER6" s="414"/>
      <c r="ES6" s="414"/>
      <c r="ET6" s="414"/>
      <c r="EU6" s="414"/>
      <c r="EV6" s="414"/>
      <c r="EW6" s="414"/>
      <c r="EX6" s="414"/>
      <c r="EY6" s="414"/>
      <c r="EZ6" s="414"/>
      <c r="FA6" s="414"/>
      <c r="FB6" s="414"/>
      <c r="FC6" s="414"/>
      <c r="FD6" s="414"/>
      <c r="FE6" s="414"/>
      <c r="FF6" s="414"/>
      <c r="FG6" s="414"/>
      <c r="FH6" s="414"/>
      <c r="FI6" s="414"/>
      <c r="FJ6" s="414"/>
      <c r="FK6" s="414"/>
      <c r="FL6" s="414"/>
      <c r="FM6" s="414"/>
      <c r="FN6" s="414"/>
      <c r="FO6" s="414"/>
      <c r="FP6" s="414"/>
      <c r="FQ6" s="414"/>
      <c r="FR6" s="414"/>
      <c r="FS6" s="414"/>
      <c r="FT6" s="414"/>
      <c r="FU6" s="414"/>
      <c r="FV6" s="414"/>
      <c r="FW6" s="414"/>
      <c r="FX6" s="414"/>
      <c r="FY6" s="414"/>
      <c r="FZ6" s="414"/>
      <c r="GA6" s="414"/>
      <c r="GB6" s="414"/>
      <c r="GC6" s="414"/>
      <c r="GD6" s="414"/>
      <c r="GE6" s="414"/>
      <c r="GF6" s="414"/>
      <c r="GG6" s="414"/>
      <c r="GH6" s="414"/>
      <c r="GI6" s="414"/>
      <c r="GJ6" s="414"/>
      <c r="GK6" s="414"/>
      <c r="GL6" s="414"/>
      <c r="GM6" s="414"/>
      <c r="GN6" s="414"/>
      <c r="GO6" s="414"/>
      <c r="GP6" s="414"/>
      <c r="GQ6" s="414"/>
      <c r="GR6" s="414"/>
      <c r="GS6" s="414"/>
      <c r="GT6" s="414"/>
      <c r="GU6" s="414"/>
      <c r="GV6" s="414"/>
      <c r="GW6" s="414"/>
      <c r="GX6" s="414"/>
      <c r="GY6" s="414"/>
      <c r="GZ6" s="414"/>
      <c r="HA6" s="414"/>
      <c r="HB6" s="414"/>
      <c r="HC6" s="414"/>
      <c r="HD6" s="414"/>
      <c r="HE6" s="414"/>
      <c r="HF6" s="414"/>
      <c r="HG6" s="414"/>
      <c r="HH6" s="414"/>
      <c r="HI6" s="414"/>
      <c r="HJ6" s="414"/>
      <c r="HK6" s="414"/>
      <c r="HL6" s="414"/>
      <c r="HM6" s="414"/>
      <c r="HN6" s="414"/>
      <c r="HO6" s="414"/>
      <c r="HP6" s="414"/>
      <c r="HQ6" s="414"/>
      <c r="HR6" s="414"/>
      <c r="HS6" s="414"/>
      <c r="HT6" s="414"/>
      <c r="HU6" s="414"/>
      <c r="HV6" s="414"/>
      <c r="HW6" s="414"/>
      <c r="HX6" s="414"/>
      <c r="HY6" s="414"/>
      <c r="HZ6" s="414"/>
      <c r="IA6" s="414"/>
      <c r="IB6" s="414"/>
      <c r="IC6" s="414"/>
      <c r="ID6" s="414"/>
      <c r="IE6" s="414"/>
      <c r="IF6" s="414"/>
      <c r="IG6" s="414"/>
      <c r="IH6" s="414"/>
      <c r="II6" s="414"/>
      <c r="IJ6" s="414"/>
      <c r="IK6" s="414"/>
      <c r="IL6" s="414"/>
      <c r="IM6" s="414"/>
      <c r="IN6" s="414"/>
      <c r="IO6" s="414"/>
      <c r="IP6" s="414"/>
      <c r="IQ6" s="414"/>
      <c r="IR6" s="414"/>
      <c r="IS6" s="414"/>
      <c r="IT6" s="414"/>
    </row>
    <row r="7" spans="1:254" ht="20.25" customHeight="1">
      <c r="A7" s="413" t="s">
        <v>957</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218"/>
      <c r="AK7" s="414"/>
      <c r="AL7" s="414"/>
      <c r="AM7" s="414"/>
      <c r="AN7" s="414"/>
      <c r="AO7" s="414"/>
      <c r="AP7" s="414"/>
      <c r="AQ7" s="414"/>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c r="DE7" s="414"/>
      <c r="DF7" s="414"/>
      <c r="DG7" s="414"/>
      <c r="DH7" s="414"/>
      <c r="DI7" s="414"/>
      <c r="DJ7" s="414"/>
      <c r="DK7" s="414"/>
      <c r="DL7" s="414"/>
      <c r="DM7" s="414"/>
      <c r="DN7" s="414"/>
      <c r="DO7" s="414"/>
      <c r="DP7" s="414"/>
      <c r="DQ7" s="414"/>
      <c r="DR7" s="414"/>
      <c r="DS7" s="414"/>
      <c r="DT7" s="414"/>
      <c r="DU7" s="414"/>
      <c r="DV7" s="414"/>
      <c r="DW7" s="414"/>
      <c r="DX7" s="414"/>
      <c r="DY7" s="414"/>
      <c r="DZ7" s="414"/>
      <c r="EA7" s="414"/>
      <c r="EB7" s="414"/>
      <c r="EC7" s="414"/>
      <c r="ED7" s="414"/>
      <c r="EE7" s="414"/>
      <c r="EF7" s="414"/>
      <c r="EG7" s="414"/>
      <c r="EH7" s="414"/>
      <c r="EI7" s="414"/>
      <c r="EJ7" s="414"/>
      <c r="EK7" s="414"/>
      <c r="EL7" s="414"/>
      <c r="EM7" s="414"/>
      <c r="EN7" s="414"/>
      <c r="EO7" s="414"/>
      <c r="EP7" s="414"/>
      <c r="EQ7" s="414"/>
      <c r="ER7" s="414"/>
      <c r="ES7" s="414"/>
      <c r="ET7" s="414"/>
      <c r="EU7" s="414"/>
      <c r="EV7" s="414"/>
      <c r="EW7" s="414"/>
      <c r="EX7" s="414"/>
      <c r="EY7" s="414"/>
      <c r="EZ7" s="414"/>
      <c r="FA7" s="414"/>
      <c r="FB7" s="414"/>
      <c r="FC7" s="414"/>
      <c r="FD7" s="414"/>
      <c r="FE7" s="414"/>
      <c r="FF7" s="414"/>
      <c r="FG7" s="414"/>
      <c r="FH7" s="414"/>
      <c r="FI7" s="414"/>
      <c r="FJ7" s="414"/>
      <c r="FK7" s="414"/>
      <c r="FL7" s="414"/>
      <c r="FM7" s="414"/>
      <c r="FN7" s="414"/>
      <c r="FO7" s="414"/>
      <c r="FP7" s="414"/>
      <c r="FQ7" s="414"/>
      <c r="FR7" s="414"/>
      <c r="FS7" s="414"/>
      <c r="FT7" s="414"/>
      <c r="FU7" s="414"/>
      <c r="FV7" s="414"/>
      <c r="FW7" s="414"/>
      <c r="FX7" s="414"/>
      <c r="FY7" s="414"/>
      <c r="FZ7" s="414"/>
      <c r="GA7" s="414"/>
      <c r="GB7" s="414"/>
      <c r="GC7" s="414"/>
      <c r="GD7" s="414"/>
      <c r="GE7" s="414"/>
      <c r="GF7" s="414"/>
      <c r="GG7" s="414"/>
      <c r="GH7" s="414"/>
      <c r="GI7" s="414"/>
      <c r="GJ7" s="414"/>
      <c r="GK7" s="414"/>
      <c r="GL7" s="414"/>
      <c r="GM7" s="414"/>
      <c r="GN7" s="414"/>
      <c r="GO7" s="414"/>
      <c r="GP7" s="414"/>
      <c r="GQ7" s="414"/>
      <c r="GR7" s="414"/>
      <c r="GS7" s="414"/>
      <c r="GT7" s="414"/>
      <c r="GU7" s="414"/>
      <c r="GV7" s="414"/>
      <c r="GW7" s="414"/>
      <c r="GX7" s="414"/>
      <c r="GY7" s="414"/>
      <c r="GZ7" s="414"/>
      <c r="HA7" s="414"/>
      <c r="HB7" s="414"/>
      <c r="HC7" s="414"/>
      <c r="HD7" s="414"/>
      <c r="HE7" s="414"/>
      <c r="HF7" s="414"/>
      <c r="HG7" s="414"/>
      <c r="HH7" s="414"/>
      <c r="HI7" s="414"/>
      <c r="HJ7" s="414"/>
      <c r="HK7" s="414"/>
      <c r="HL7" s="414"/>
      <c r="HM7" s="414"/>
      <c r="HN7" s="414"/>
      <c r="HO7" s="414"/>
      <c r="HP7" s="414"/>
      <c r="HQ7" s="414"/>
      <c r="HR7" s="414"/>
      <c r="HS7" s="414"/>
      <c r="HT7" s="414"/>
      <c r="HU7" s="414"/>
      <c r="HV7" s="414"/>
      <c r="HW7" s="414"/>
      <c r="HX7" s="414"/>
      <c r="HY7" s="414"/>
      <c r="HZ7" s="414"/>
      <c r="IA7" s="414"/>
      <c r="IB7" s="414"/>
      <c r="IC7" s="414"/>
      <c r="ID7" s="414"/>
      <c r="IE7" s="414"/>
      <c r="IF7" s="414"/>
      <c r="IG7" s="414"/>
      <c r="IH7" s="414"/>
      <c r="II7" s="414"/>
      <c r="IJ7" s="414"/>
      <c r="IK7" s="414"/>
      <c r="IL7" s="414"/>
      <c r="IM7" s="414"/>
      <c r="IN7" s="414"/>
      <c r="IO7" s="414"/>
      <c r="IP7" s="414"/>
      <c r="IQ7" s="414"/>
      <c r="IR7" s="414"/>
      <c r="IS7" s="414"/>
      <c r="IT7" s="414"/>
    </row>
    <row r="8" spans="1:254" ht="16.5" customHeight="1">
      <c r="A8" s="416"/>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218"/>
    </row>
    <row r="9" spans="1:254" ht="16.5" customHeight="1">
      <c r="A9" s="416"/>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398"/>
      <c r="AG9" s="1908"/>
    </row>
    <row r="10" spans="1:254" ht="16.5" customHeight="1">
      <c r="A10" s="416"/>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291"/>
      <c r="AG10" s="1909"/>
    </row>
    <row r="11" spans="1:254" ht="16.5" customHeight="1">
      <c r="A11" s="41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C11" s="416"/>
      <c r="AD11" s="416"/>
      <c r="AE11" s="416"/>
      <c r="AF11" s="1686"/>
      <c r="AG11" s="1896"/>
      <c r="AH11" s="1908"/>
      <c r="AI11" s="1908"/>
      <c r="AJ11" s="1908"/>
    </row>
    <row r="12" spans="1:254" ht="16.5" customHeight="1">
      <c r="A12" s="412"/>
      <c r="B12" s="412"/>
      <c r="C12" s="421"/>
      <c r="D12" s="421"/>
      <c r="E12" s="421"/>
      <c r="F12" s="421"/>
      <c r="G12" s="421"/>
      <c r="H12" s="421"/>
      <c r="I12" s="421"/>
      <c r="J12" s="421"/>
      <c r="K12" s="421"/>
      <c r="L12" s="421"/>
      <c r="M12" s="421"/>
      <c r="N12" s="421"/>
      <c r="O12" s="421"/>
      <c r="P12" s="421"/>
      <c r="Q12" s="421"/>
      <c r="R12" s="421"/>
      <c r="S12" s="421"/>
      <c r="T12" s="421"/>
      <c r="U12" s="421"/>
      <c r="V12" s="421"/>
      <c r="W12" s="421"/>
      <c r="X12" s="421"/>
      <c r="Y12" s="1326"/>
      <c r="Z12" s="1326"/>
      <c r="AA12" s="421"/>
      <c r="AB12" s="3758" t="s">
        <v>1466</v>
      </c>
      <c r="AC12" s="3759"/>
      <c r="AD12" s="3759"/>
      <c r="AE12" s="3759"/>
      <c r="AF12" s="3759"/>
      <c r="AG12" s="3759"/>
      <c r="AH12" s="3759"/>
      <c r="AI12" s="3759"/>
      <c r="AJ12" s="3759"/>
    </row>
    <row r="13" spans="1:254" ht="16.5" customHeight="1">
      <c r="A13" s="412"/>
      <c r="B13" s="412"/>
      <c r="C13" s="1563" t="str">
        <f>'Cashflow Governmental'!C13</f>
        <v>2018</v>
      </c>
      <c r="D13" s="421"/>
      <c r="E13" s="421"/>
      <c r="F13" s="421"/>
      <c r="G13" s="421"/>
      <c r="H13" s="421"/>
      <c r="I13" s="421"/>
      <c r="J13" s="421"/>
      <c r="K13" s="421"/>
      <c r="L13" s="421"/>
      <c r="M13" s="421"/>
      <c r="N13" s="421"/>
      <c r="O13" s="421"/>
      <c r="P13" s="421"/>
      <c r="Q13" s="421"/>
      <c r="R13" s="421"/>
      <c r="S13" s="421"/>
      <c r="T13" s="421"/>
      <c r="U13" s="1563" t="str">
        <f>'Cashflow Governmental'!U13</f>
        <v>2019</v>
      </c>
      <c r="V13" s="421"/>
      <c r="W13" s="421"/>
      <c r="X13" s="421"/>
      <c r="Y13" s="421"/>
      <c r="Z13" s="421"/>
      <c r="AA13" s="421"/>
      <c r="AB13" s="871"/>
      <c r="AC13" s="1704"/>
      <c r="AD13" s="1704"/>
      <c r="AE13" s="1704"/>
      <c r="AF13" s="1687"/>
      <c r="AG13" s="1897"/>
      <c r="AH13" s="1910" t="s">
        <v>8</v>
      </c>
      <c r="AI13" s="1910"/>
      <c r="AJ13" s="1911" t="s">
        <v>9</v>
      </c>
    </row>
    <row r="14" spans="1:254" ht="16.5" customHeight="1">
      <c r="A14" s="412"/>
      <c r="B14" s="412"/>
      <c r="C14" s="1327" t="s">
        <v>126</v>
      </c>
      <c r="D14" s="421"/>
      <c r="E14" s="1327" t="s">
        <v>127</v>
      </c>
      <c r="F14" s="421"/>
      <c r="G14" s="1327" t="s">
        <v>128</v>
      </c>
      <c r="H14" s="421"/>
      <c r="I14" s="1327" t="s">
        <v>129</v>
      </c>
      <c r="J14" s="421"/>
      <c r="K14" s="1327" t="s">
        <v>130</v>
      </c>
      <c r="L14" s="421"/>
      <c r="M14" s="1327" t="s">
        <v>145</v>
      </c>
      <c r="N14" s="421"/>
      <c r="O14" s="1327" t="s">
        <v>146</v>
      </c>
      <c r="P14" s="421"/>
      <c r="Q14" s="1327" t="s">
        <v>133</v>
      </c>
      <c r="R14" s="421"/>
      <c r="S14" s="1327" t="s">
        <v>134</v>
      </c>
      <c r="T14" s="421"/>
      <c r="U14" s="1327" t="s">
        <v>135</v>
      </c>
      <c r="V14" s="421"/>
      <c r="W14" s="1327" t="s">
        <v>136</v>
      </c>
      <c r="X14" s="421"/>
      <c r="Y14" s="1327" t="s">
        <v>188</v>
      </c>
      <c r="Z14" s="421"/>
      <c r="AA14" s="421"/>
      <c r="AB14" s="1563" t="str">
        <f>'Cashflow Governmental'!AB14</f>
        <v>2018</v>
      </c>
      <c r="AC14" s="421" t="s">
        <v>15</v>
      </c>
      <c r="AD14" s="421"/>
      <c r="AE14" s="1563" t="str">
        <f>'Cashflow Governmental'!AE14</f>
        <v>2017</v>
      </c>
      <c r="AF14" s="673"/>
      <c r="AG14" s="1898"/>
      <c r="AH14" s="1912" t="s">
        <v>12</v>
      </c>
      <c r="AI14" s="1913"/>
      <c r="AJ14" s="1912" t="s">
        <v>13</v>
      </c>
    </row>
    <row r="15" spans="1:254" ht="4.5" customHeight="1">
      <c r="A15" s="412"/>
      <c r="B15" s="412"/>
      <c r="C15" s="417"/>
      <c r="D15" s="412"/>
      <c r="E15" s="417"/>
      <c r="F15" s="412"/>
      <c r="G15" s="417"/>
      <c r="H15" s="412"/>
      <c r="I15" s="417"/>
      <c r="J15" s="412"/>
      <c r="K15" s="417"/>
      <c r="L15" s="412"/>
      <c r="M15" s="417"/>
      <c r="N15" s="412"/>
      <c r="O15" s="417" t="s">
        <v>15</v>
      </c>
      <c r="P15" s="412"/>
      <c r="Q15" s="417"/>
      <c r="R15" s="412"/>
      <c r="S15" s="417"/>
      <c r="T15" s="412"/>
      <c r="U15" s="417" t="s">
        <v>15</v>
      </c>
      <c r="V15" s="412"/>
      <c r="W15" s="417"/>
      <c r="X15" s="412"/>
      <c r="Y15" s="417"/>
      <c r="Z15" s="412"/>
      <c r="AA15" s="412"/>
      <c r="AB15" s="417"/>
      <c r="AC15" s="412"/>
      <c r="AD15" s="412"/>
      <c r="AE15" s="417"/>
      <c r="AF15" s="673"/>
      <c r="AG15" s="1898"/>
    </row>
    <row r="16" spans="1:254" ht="16.5" customHeight="1">
      <c r="A16" s="418" t="s">
        <v>138</v>
      </c>
      <c r="B16" s="412"/>
      <c r="C16" s="3516">
        <v>24.6</v>
      </c>
      <c r="D16" s="419"/>
      <c r="E16" s="419"/>
      <c r="F16" s="649"/>
      <c r="G16" s="419"/>
      <c r="H16" s="649"/>
      <c r="I16" s="419"/>
      <c r="J16" s="649"/>
      <c r="K16" s="419"/>
      <c r="L16" s="649"/>
      <c r="M16" s="419"/>
      <c r="N16" s="649"/>
      <c r="O16" s="419"/>
      <c r="P16" s="649"/>
      <c r="Q16" s="419"/>
      <c r="R16" s="649"/>
      <c r="S16" s="419"/>
      <c r="T16" s="649"/>
      <c r="U16" s="419"/>
      <c r="V16" s="649"/>
      <c r="W16" s="419"/>
      <c r="X16" s="649"/>
      <c r="Y16" s="419"/>
      <c r="Z16" s="419"/>
      <c r="AA16" s="420"/>
      <c r="AB16" s="419">
        <f>C16</f>
        <v>24.6</v>
      </c>
      <c r="AC16" s="419"/>
      <c r="AD16" s="420"/>
      <c r="AE16" s="3516">
        <v>23.6</v>
      </c>
      <c r="AF16" s="1492"/>
      <c r="AG16" s="1899"/>
      <c r="AH16" s="1914">
        <f>ROUND(SUM(AB16-AE16),1)</f>
        <v>1</v>
      </c>
      <c r="AJ16" s="1915">
        <f>ROUND(IF(AH16=0,0,AH16/(AE16)),3)</f>
        <v>4.2000000000000003E-2</v>
      </c>
    </row>
    <row r="17" spans="1:38" ht="16.5" customHeight="1">
      <c r="A17" s="412"/>
      <c r="B17" s="412"/>
      <c r="C17" s="412" t="s">
        <v>15</v>
      </c>
      <c r="D17" s="412"/>
      <c r="E17" s="422"/>
      <c r="F17" s="422"/>
      <c r="G17" s="422"/>
      <c r="H17" s="422"/>
      <c r="I17" s="422"/>
      <c r="J17" s="422"/>
      <c r="K17" s="422"/>
      <c r="L17" s="422"/>
      <c r="M17" s="422"/>
      <c r="N17" s="422"/>
      <c r="O17" s="422"/>
      <c r="P17" s="422"/>
      <c r="Q17" s="422"/>
      <c r="R17" s="422"/>
      <c r="S17" s="422"/>
      <c r="T17" s="422"/>
      <c r="U17" s="422"/>
      <c r="V17" s="422"/>
      <c r="W17" s="422"/>
      <c r="X17" s="422"/>
      <c r="Y17" s="422"/>
      <c r="Z17" s="412"/>
      <c r="AA17" s="423"/>
      <c r="AB17" s="412" t="s">
        <v>15</v>
      </c>
      <c r="AC17" s="412"/>
      <c r="AD17" s="423"/>
      <c r="AE17" s="412" t="s">
        <v>15</v>
      </c>
      <c r="AF17" s="1493"/>
      <c r="AG17" s="1899"/>
      <c r="AH17" s="1916"/>
      <c r="AJ17" s="1907"/>
    </row>
    <row r="18" spans="1:38" ht="16.5" customHeight="1">
      <c r="A18" s="421" t="s">
        <v>14</v>
      </c>
      <c r="B18" s="412"/>
      <c r="C18" s="412"/>
      <c r="D18" s="412"/>
      <c r="E18" s="422"/>
      <c r="F18" s="422"/>
      <c r="G18" s="422"/>
      <c r="H18" s="422"/>
      <c r="I18" s="422"/>
      <c r="J18" s="422"/>
      <c r="K18" s="422"/>
      <c r="L18" s="422"/>
      <c r="M18" s="422"/>
      <c r="N18" s="422"/>
      <c r="O18" s="422"/>
      <c r="P18" s="422"/>
      <c r="Q18" s="422"/>
      <c r="R18" s="422"/>
      <c r="S18" s="422"/>
      <c r="T18" s="422"/>
      <c r="U18" s="422"/>
      <c r="V18" s="422"/>
      <c r="W18" s="422"/>
      <c r="X18" s="422"/>
      <c r="Y18" s="422"/>
      <c r="Z18" s="412"/>
      <c r="AA18" s="423"/>
      <c r="AB18" s="412"/>
      <c r="AC18" s="412"/>
      <c r="AD18" s="423"/>
      <c r="AE18" s="412"/>
      <c r="AF18" s="433"/>
      <c r="AG18" s="1899"/>
      <c r="AH18" s="1916"/>
      <c r="AJ18" s="1907"/>
    </row>
    <row r="19" spans="1:38" ht="18.75" customHeight="1">
      <c r="A19" s="412" t="s">
        <v>181</v>
      </c>
      <c r="B19" s="412"/>
      <c r="C19" s="424">
        <f>$AB19</f>
        <v>3.9</v>
      </c>
      <c r="D19" s="424"/>
      <c r="E19" s="3064" t="s">
        <v>15</v>
      </c>
      <c r="F19" s="434"/>
      <c r="G19" s="3064"/>
      <c r="H19" s="434"/>
      <c r="I19" s="3064"/>
      <c r="J19" s="434"/>
      <c r="K19" s="2812"/>
      <c r="L19" s="434"/>
      <c r="M19" s="2812"/>
      <c r="N19" s="434"/>
      <c r="O19" s="2812"/>
      <c r="P19" s="434"/>
      <c r="Q19" s="2812"/>
      <c r="R19" s="434"/>
      <c r="S19" s="2812"/>
      <c r="T19" s="434"/>
      <c r="U19" s="2812"/>
      <c r="V19" s="434"/>
      <c r="W19" s="2812"/>
      <c r="X19" s="434"/>
      <c r="Y19" s="2812"/>
      <c r="Z19" s="424"/>
      <c r="AA19" s="425"/>
      <c r="AB19" s="3447">
        <v>3.9</v>
      </c>
      <c r="AC19" s="424"/>
      <c r="AD19" s="425"/>
      <c r="AE19" s="2812">
        <v>4.5</v>
      </c>
      <c r="AF19" s="428"/>
      <c r="AG19" s="1899"/>
      <c r="AH19" s="1917">
        <f>ROUND(AB19-AE19,1)</f>
        <v>-0.6</v>
      </c>
      <c r="AI19" s="1918"/>
      <c r="AJ19" s="2704">
        <f>ROUND(IF(AE19=0,0,AH19/ABS(AE19)),3)</f>
        <v>-0.13300000000000001</v>
      </c>
    </row>
    <row r="20" spans="1:38" ht="17.25" customHeight="1">
      <c r="A20" s="418" t="s">
        <v>220</v>
      </c>
      <c r="B20" s="412"/>
      <c r="C20" s="424">
        <f t="shared" ref="C20:C21" si="0">$AB20</f>
        <v>1</v>
      </c>
      <c r="D20" s="424"/>
      <c r="E20" s="3064" t="s">
        <v>15</v>
      </c>
      <c r="F20" s="434"/>
      <c r="G20" s="3064"/>
      <c r="H20" s="434"/>
      <c r="I20" s="3064"/>
      <c r="J20" s="434"/>
      <c r="K20" s="2812"/>
      <c r="L20" s="434"/>
      <c r="M20" s="2812"/>
      <c r="N20" s="434"/>
      <c r="O20" s="2812"/>
      <c r="P20" s="434"/>
      <c r="Q20" s="2812"/>
      <c r="R20" s="434"/>
      <c r="S20" s="2812"/>
      <c r="T20" s="434"/>
      <c r="U20" s="2812"/>
      <c r="V20" s="434"/>
      <c r="W20" s="2812"/>
      <c r="X20" s="434"/>
      <c r="Y20" s="2812"/>
      <c r="Z20" s="424"/>
      <c r="AA20" s="425"/>
      <c r="AB20" s="3447">
        <v>1</v>
      </c>
      <c r="AC20" s="424"/>
      <c r="AD20" s="425"/>
      <c r="AE20" s="2812">
        <v>1.2</v>
      </c>
      <c r="AF20" s="428"/>
      <c r="AG20" s="1899"/>
      <c r="AH20" s="1917">
        <f>ROUND(AB20-AE20,1)</f>
        <v>-0.2</v>
      </c>
      <c r="AI20" s="1918"/>
      <c r="AJ20" s="2573">
        <f>ROUND(IF(AE20=0,0,AH20/ABS(AE20)),3)</f>
        <v>-0.16700000000000001</v>
      </c>
    </row>
    <row r="21" spans="1:38" ht="17.25" customHeight="1">
      <c r="A21" s="436" t="s">
        <v>221</v>
      </c>
      <c r="B21" s="412"/>
      <c r="C21" s="424">
        <f t="shared" si="0"/>
        <v>191.1</v>
      </c>
      <c r="D21" s="424"/>
      <c r="E21" s="3064" t="s">
        <v>15</v>
      </c>
      <c r="F21" s="434"/>
      <c r="G21" s="3064"/>
      <c r="H21" s="434"/>
      <c r="I21" s="3064"/>
      <c r="J21" s="434"/>
      <c r="K21" s="2812"/>
      <c r="L21" s="434"/>
      <c r="M21" s="2812"/>
      <c r="N21" s="434"/>
      <c r="O21" s="2812"/>
      <c r="P21" s="434"/>
      <c r="Q21" s="2812"/>
      <c r="R21" s="434"/>
      <c r="S21" s="2812"/>
      <c r="T21" s="434"/>
      <c r="U21" s="2812"/>
      <c r="V21" s="434"/>
      <c r="W21" s="2812"/>
      <c r="X21" s="434"/>
      <c r="Y21" s="2812"/>
      <c r="Z21" s="424"/>
      <c r="AA21" s="425"/>
      <c r="AB21" s="3447">
        <v>191.1</v>
      </c>
      <c r="AC21" s="424"/>
      <c r="AD21" s="425"/>
      <c r="AE21" s="3447">
        <v>180.2</v>
      </c>
      <c r="AF21" s="429"/>
      <c r="AG21" s="1900"/>
      <c r="AH21" s="1919">
        <f>ROUND(AB21-AE21,1)</f>
        <v>10.9</v>
      </c>
      <c r="AI21" s="1918"/>
      <c r="AJ21" s="2705">
        <f>ROUND(IF(AE21=0,0,AH21/ABS(AE21)),3)</f>
        <v>0.06</v>
      </c>
    </row>
    <row r="22" spans="1:38" ht="16.5" customHeight="1">
      <c r="A22" s="412"/>
      <c r="B22" s="412"/>
      <c r="C22" s="653"/>
      <c r="D22" s="424"/>
      <c r="E22" s="654"/>
      <c r="F22" s="434"/>
      <c r="G22" s="654"/>
      <c r="H22" s="434"/>
      <c r="I22" s="654"/>
      <c r="J22" s="434"/>
      <c r="K22" s="654"/>
      <c r="L22" s="434"/>
      <c r="M22" s="654"/>
      <c r="N22" s="434"/>
      <c r="O22" s="654"/>
      <c r="P22" s="434"/>
      <c r="Q22" s="654"/>
      <c r="R22" s="434"/>
      <c r="S22" s="654"/>
      <c r="T22" s="434"/>
      <c r="U22" s="654"/>
      <c r="V22" s="434"/>
      <c r="W22" s="2814"/>
      <c r="X22" s="434"/>
      <c r="Y22" s="654"/>
      <c r="Z22" s="424"/>
      <c r="AA22" s="425"/>
      <c r="AB22" s="653"/>
      <c r="AC22" s="424"/>
      <c r="AD22" s="425"/>
      <c r="AE22" s="653"/>
      <c r="AF22" s="651"/>
      <c r="AG22" s="1900"/>
      <c r="AH22" s="1920"/>
      <c r="AJ22" s="1907"/>
    </row>
    <row r="23" spans="1:38" ht="16.5" customHeight="1">
      <c r="A23" s="421" t="s">
        <v>152</v>
      </c>
      <c r="B23" s="412"/>
      <c r="C23" s="435">
        <f>ROUND(SUM(C19:C22),1)</f>
        <v>196</v>
      </c>
      <c r="D23" s="426"/>
      <c r="E23" s="435">
        <f>ROUND(SUM(E19:E22),1)</f>
        <v>0</v>
      </c>
      <c r="F23" s="435"/>
      <c r="G23" s="435">
        <f>ROUND(SUM(G19:G22),1)</f>
        <v>0</v>
      </c>
      <c r="H23" s="435"/>
      <c r="I23" s="435">
        <f>ROUND(SUM(I19:I22),1)</f>
        <v>0</v>
      </c>
      <c r="J23" s="435"/>
      <c r="K23" s="435">
        <f>ROUND(SUM(K19:K22),1)</f>
        <v>0</v>
      </c>
      <c r="L23" s="435"/>
      <c r="M23" s="435">
        <f>ROUND(SUM(M19:M22),1)</f>
        <v>0</v>
      </c>
      <c r="N23" s="435"/>
      <c r="O23" s="435">
        <f>ROUND(SUM(O19:O22),1)</f>
        <v>0</v>
      </c>
      <c r="P23" s="435"/>
      <c r="Q23" s="435">
        <f>ROUND(SUM(Q19:Q22),1)</f>
        <v>0</v>
      </c>
      <c r="R23" s="435"/>
      <c r="S23" s="435">
        <f>ROUND(SUM(S19:S22),1)</f>
        <v>0</v>
      </c>
      <c r="T23" s="435"/>
      <c r="U23" s="435">
        <f>ROUND(SUM(U19:U22),1)</f>
        <v>0</v>
      </c>
      <c r="V23" s="435"/>
      <c r="W23" s="435">
        <f>ROUND(SUM(W19:W22),1)</f>
        <v>0</v>
      </c>
      <c r="X23" s="435"/>
      <c r="Y23" s="435">
        <f>ROUND(SUM(Y19:Y22),1)</f>
        <v>0</v>
      </c>
      <c r="Z23" s="426"/>
      <c r="AA23" s="427"/>
      <c r="AB23" s="435">
        <f>ROUND(SUM(AB19:AB22),1)</f>
        <v>196</v>
      </c>
      <c r="AC23" s="655"/>
      <c r="AD23" s="426"/>
      <c r="AE23" s="435">
        <f>ROUND(SUM(AE19:AE22),1)</f>
        <v>185.9</v>
      </c>
      <c r="AF23" s="429"/>
      <c r="AG23" s="1900"/>
      <c r="AH23" s="1921">
        <f>ROUND(SUM(AH19:AH21),1)</f>
        <v>10.1</v>
      </c>
      <c r="AI23" s="1922"/>
      <c r="AJ23" s="1923">
        <f>ROUND(IF(AH23=0,0,AH23/ABS(AE23)),3)</f>
        <v>5.3999999999999999E-2</v>
      </c>
      <c r="AK23" s="650"/>
      <c r="AL23" s="650"/>
    </row>
    <row r="24" spans="1:38" ht="16.5" customHeight="1">
      <c r="A24" s="412"/>
      <c r="B24" s="412"/>
      <c r="C24" s="653"/>
      <c r="D24" s="424"/>
      <c r="E24" s="654"/>
      <c r="F24" s="434"/>
      <c r="G24" s="654"/>
      <c r="H24" s="434"/>
      <c r="I24" s="654"/>
      <c r="J24" s="434"/>
      <c r="K24" s="654"/>
      <c r="L24" s="434"/>
      <c r="M24" s="654"/>
      <c r="N24" s="434"/>
      <c r="O24" s="654"/>
      <c r="P24" s="434"/>
      <c r="Q24" s="654"/>
      <c r="R24" s="434"/>
      <c r="S24" s="654"/>
      <c r="T24" s="434"/>
      <c r="U24" s="654"/>
      <c r="V24" s="434"/>
      <c r="W24" s="654"/>
      <c r="X24" s="434"/>
      <c r="Y24" s="654"/>
      <c r="Z24" s="424"/>
      <c r="AA24" s="425"/>
      <c r="AB24" s="653"/>
      <c r="AC24" s="424"/>
      <c r="AD24" s="425"/>
      <c r="AE24" s="653"/>
      <c r="AF24" s="1510"/>
      <c r="AG24" s="1900"/>
      <c r="AH24" s="1920"/>
      <c r="AJ24" s="1907"/>
    </row>
    <row r="25" spans="1:38" ht="16.5" customHeight="1">
      <c r="A25" s="412"/>
      <c r="B25" s="412"/>
      <c r="C25" s="424"/>
      <c r="D25" s="424"/>
      <c r="E25" s="434"/>
      <c r="F25" s="434"/>
      <c r="G25" s="434"/>
      <c r="H25" s="434"/>
      <c r="I25" s="434"/>
      <c r="J25" s="434"/>
      <c r="K25" s="434"/>
      <c r="L25" s="434"/>
      <c r="M25" s="434"/>
      <c r="N25" s="434"/>
      <c r="O25" s="434"/>
      <c r="P25" s="434"/>
      <c r="Q25" s="434"/>
      <c r="R25" s="434"/>
      <c r="S25" s="434"/>
      <c r="T25" s="434"/>
      <c r="U25" s="434"/>
      <c r="V25" s="434"/>
      <c r="W25" s="434"/>
      <c r="X25" s="434"/>
      <c r="Y25" s="434"/>
      <c r="Z25" s="424"/>
      <c r="AA25" s="425"/>
      <c r="AB25" s="424"/>
      <c r="AC25" s="424"/>
      <c r="AD25" s="425"/>
      <c r="AE25" s="424"/>
      <c r="AF25" s="1511"/>
      <c r="AG25" s="1900"/>
      <c r="AH25" s="1920"/>
      <c r="AJ25" s="1907"/>
    </row>
    <row r="26" spans="1:38" ht="16.5" customHeight="1">
      <c r="A26" s="412"/>
      <c r="B26" s="412"/>
      <c r="C26" s="424"/>
      <c r="D26" s="424"/>
      <c r="E26" s="434"/>
      <c r="F26" s="434"/>
      <c r="G26" s="434"/>
      <c r="H26" s="434"/>
      <c r="I26" s="434"/>
      <c r="J26" s="434"/>
      <c r="K26" s="434"/>
      <c r="L26" s="434"/>
      <c r="M26" s="434"/>
      <c r="N26" s="434"/>
      <c r="O26" s="434"/>
      <c r="P26" s="434"/>
      <c r="Q26" s="434"/>
      <c r="R26" s="434"/>
      <c r="S26" s="434"/>
      <c r="T26" s="434"/>
      <c r="U26" s="434"/>
      <c r="V26" s="434"/>
      <c r="W26" s="434"/>
      <c r="X26" s="434"/>
      <c r="Y26" s="434"/>
      <c r="Z26" s="424"/>
      <c r="AA26" s="425"/>
      <c r="AB26" s="424"/>
      <c r="AC26" s="424"/>
      <c r="AD26" s="425"/>
      <c r="AE26" s="424"/>
      <c r="AF26" s="433"/>
      <c r="AG26" s="1899"/>
      <c r="AH26" s="1920"/>
      <c r="AJ26" s="1924"/>
    </row>
    <row r="27" spans="1:38" ht="16.5" customHeight="1">
      <c r="A27" s="421" t="s">
        <v>23</v>
      </c>
      <c r="B27" s="412"/>
      <c r="C27" s="424"/>
      <c r="D27" s="424"/>
      <c r="E27" s="434"/>
      <c r="F27" s="434"/>
      <c r="G27" s="434"/>
      <c r="H27" s="434"/>
      <c r="I27" s="434"/>
      <c r="J27" s="434"/>
      <c r="K27" s="434"/>
      <c r="L27" s="434"/>
      <c r="M27" s="434"/>
      <c r="N27" s="434"/>
      <c r="O27" s="434"/>
      <c r="P27" s="434"/>
      <c r="Q27" s="434"/>
      <c r="R27" s="434"/>
      <c r="S27" s="434"/>
      <c r="T27" s="434"/>
      <c r="U27" s="434"/>
      <c r="V27" s="434"/>
      <c r="W27" s="434"/>
      <c r="X27" s="2813"/>
      <c r="Y27" s="2813"/>
      <c r="Z27" s="2593"/>
      <c r="AA27" s="2818"/>
      <c r="AB27" s="2593"/>
      <c r="AC27" s="2593"/>
      <c r="AD27" s="2818"/>
      <c r="AE27" s="424"/>
      <c r="AF27" s="428"/>
      <c r="AG27" s="1899"/>
      <c r="AH27" s="1920"/>
      <c r="AI27" s="1925"/>
      <c r="AJ27" s="1924"/>
    </row>
    <row r="28" spans="1:38" ht="16.5" customHeight="1">
      <c r="A28" s="412" t="s">
        <v>154</v>
      </c>
      <c r="B28" s="412"/>
      <c r="C28" s="424"/>
      <c r="D28" s="424"/>
      <c r="E28" s="434"/>
      <c r="F28" s="434"/>
      <c r="G28" s="434"/>
      <c r="H28" s="434"/>
      <c r="I28" s="434"/>
      <c r="J28" s="434"/>
      <c r="K28" s="434"/>
      <c r="L28" s="434"/>
      <c r="M28" s="434"/>
      <c r="N28" s="434"/>
      <c r="O28" s="434"/>
      <c r="P28" s="434"/>
      <c r="Q28" s="434"/>
      <c r="R28" s="434"/>
      <c r="S28" s="434"/>
      <c r="T28" s="434"/>
      <c r="U28" s="434"/>
      <c r="V28" s="434"/>
      <c r="W28" s="434"/>
      <c r="X28" s="2813"/>
      <c r="Y28" s="2813"/>
      <c r="Z28" s="2593"/>
      <c r="AA28" s="2818"/>
      <c r="AB28" s="2593"/>
      <c r="AC28" s="2593"/>
      <c r="AD28" s="2818"/>
      <c r="AE28" s="424"/>
      <c r="AF28" s="1501"/>
      <c r="AG28" s="1900"/>
      <c r="AH28" s="1920"/>
      <c r="AJ28" s="1924"/>
    </row>
    <row r="29" spans="1:38" ht="16.5" customHeight="1">
      <c r="A29" s="412" t="s">
        <v>222</v>
      </c>
      <c r="B29" s="412"/>
      <c r="C29" s="424">
        <f>$AB29</f>
        <v>0.4</v>
      </c>
      <c r="D29" s="424"/>
      <c r="E29" s="3064" t="s">
        <v>15</v>
      </c>
      <c r="F29" s="434"/>
      <c r="G29" s="3064"/>
      <c r="H29" s="434"/>
      <c r="I29" s="3064"/>
      <c r="J29" s="434"/>
      <c r="K29" s="2812"/>
      <c r="L29" s="434"/>
      <c r="M29" s="2812"/>
      <c r="N29" s="434"/>
      <c r="O29" s="2812"/>
      <c r="P29" s="434"/>
      <c r="Q29" s="2812"/>
      <c r="R29" s="434"/>
      <c r="S29" s="2812"/>
      <c r="T29" s="434"/>
      <c r="U29" s="2812"/>
      <c r="V29" s="434"/>
      <c r="W29" s="2812"/>
      <c r="X29" s="2813"/>
      <c r="Y29" s="3447"/>
      <c r="Z29" s="2593"/>
      <c r="AA29" s="2818"/>
      <c r="AB29" s="3447">
        <v>0.4</v>
      </c>
      <c r="AC29" s="2593"/>
      <c r="AD29" s="2818"/>
      <c r="AE29" s="3447">
        <v>0.30000000000000004</v>
      </c>
      <c r="AF29" s="433"/>
      <c r="AG29" s="1901"/>
      <c r="AH29" s="1920">
        <f>ROUND(SUM(AB29-AE29),1)</f>
        <v>0.1</v>
      </c>
      <c r="AJ29" s="1926">
        <f>ROUND(IF(AH29=0,0,AH29/ABS(AE29)),3)</f>
        <v>0.33300000000000002</v>
      </c>
    </row>
    <row r="30" spans="1:38" ht="16.5" customHeight="1">
      <c r="A30" s="412" t="s">
        <v>182</v>
      </c>
      <c r="B30" s="412"/>
      <c r="C30" s="424">
        <f t="shared" ref="C30:C32" si="1">$AB30</f>
        <v>2.4</v>
      </c>
      <c r="D30" s="424"/>
      <c r="E30" s="3064" t="s">
        <v>15</v>
      </c>
      <c r="F30" s="434"/>
      <c r="G30" s="3064"/>
      <c r="H30" s="434"/>
      <c r="I30" s="3064"/>
      <c r="J30" s="434"/>
      <c r="K30" s="2812"/>
      <c r="L30" s="434"/>
      <c r="M30" s="2812"/>
      <c r="N30" s="434"/>
      <c r="O30" s="2812"/>
      <c r="P30" s="434"/>
      <c r="Q30" s="2812"/>
      <c r="R30" s="434"/>
      <c r="S30" s="2812"/>
      <c r="T30" s="434"/>
      <c r="U30" s="2812"/>
      <c r="V30" s="434"/>
      <c r="W30" s="2812"/>
      <c r="X30" s="2813"/>
      <c r="Y30" s="3447"/>
      <c r="Z30" s="2593"/>
      <c r="AA30" s="2818"/>
      <c r="AB30" s="3447">
        <v>2.4</v>
      </c>
      <c r="AC30" s="2593"/>
      <c r="AD30" s="2818"/>
      <c r="AE30" s="3447">
        <v>2.4</v>
      </c>
      <c r="AF30" s="428"/>
      <c r="AG30" s="1901"/>
      <c r="AH30" s="1920">
        <f>ROUND(SUM(AB30-AE30),1)</f>
        <v>0</v>
      </c>
      <c r="AJ30" s="1926">
        <f>ROUND(IF(AH30=0,0,AH30/ABS(AE30)),3)</f>
        <v>0</v>
      </c>
    </row>
    <row r="31" spans="1:38" ht="16.5" customHeight="1">
      <c r="A31" s="412" t="s">
        <v>157</v>
      </c>
      <c r="B31" s="412"/>
      <c r="C31" s="424">
        <f t="shared" si="1"/>
        <v>0</v>
      </c>
      <c r="D31" s="424"/>
      <c r="E31" s="3064" t="s">
        <v>15</v>
      </c>
      <c r="F31" s="434"/>
      <c r="G31" s="3064"/>
      <c r="H31" s="434"/>
      <c r="I31" s="3064"/>
      <c r="J31" s="434"/>
      <c r="K31" s="2812"/>
      <c r="L31" s="434"/>
      <c r="M31" s="2812"/>
      <c r="N31" s="434"/>
      <c r="O31" s="2812"/>
      <c r="P31" s="434"/>
      <c r="Q31" s="2812"/>
      <c r="R31" s="434"/>
      <c r="S31" s="2812"/>
      <c r="T31" s="434"/>
      <c r="U31" s="2812"/>
      <c r="V31" s="434"/>
      <c r="W31" s="2812"/>
      <c r="X31" s="2813"/>
      <c r="Y31" s="3447"/>
      <c r="Z31" s="2593"/>
      <c r="AA31" s="2818"/>
      <c r="AB31" s="3447">
        <v>0</v>
      </c>
      <c r="AC31" s="2593"/>
      <c r="AD31" s="2818"/>
      <c r="AE31" s="3447">
        <v>0</v>
      </c>
      <c r="AF31" s="429"/>
      <c r="AG31" s="1902"/>
      <c r="AH31" s="1920">
        <f>ROUND(SUM(AB31-AE31),1)</f>
        <v>0</v>
      </c>
      <c r="AJ31" s="2594">
        <f>ROUND(IF(AH31=0,0,AH31/ABS(AE31)),3)</f>
        <v>0</v>
      </c>
    </row>
    <row r="32" spans="1:38" ht="16.5" customHeight="1">
      <c r="A32" s="436" t="s">
        <v>223</v>
      </c>
      <c r="B32" s="412"/>
      <c r="C32" s="424">
        <f t="shared" si="1"/>
        <v>192.1</v>
      </c>
      <c r="D32" s="424"/>
      <c r="E32" s="3064" t="s">
        <v>15</v>
      </c>
      <c r="F32" s="434"/>
      <c r="G32" s="3064"/>
      <c r="H32" s="434"/>
      <c r="I32" s="3064"/>
      <c r="J32" s="434"/>
      <c r="K32" s="2812"/>
      <c r="L32" s="434"/>
      <c r="M32" s="2812"/>
      <c r="N32" s="434"/>
      <c r="O32" s="2812"/>
      <c r="P32" s="434"/>
      <c r="Q32" s="2812"/>
      <c r="R32" s="434"/>
      <c r="S32" s="2812"/>
      <c r="T32" s="434"/>
      <c r="U32" s="2812"/>
      <c r="V32" s="434"/>
      <c r="W32" s="2812"/>
      <c r="X32" s="434"/>
      <c r="Y32" s="2812"/>
      <c r="Z32" s="424"/>
      <c r="AA32" s="425"/>
      <c r="AB32" s="3447">
        <v>192.1</v>
      </c>
      <c r="AC32" s="424"/>
      <c r="AD32" s="425"/>
      <c r="AE32" s="3447">
        <v>181.5</v>
      </c>
      <c r="AF32" s="429"/>
      <c r="AG32" s="1901"/>
      <c r="AH32" s="1927">
        <f>ROUND(SUM(AB32-AE32),1)</f>
        <v>10.6</v>
      </c>
      <c r="AJ32" s="1928">
        <f>ROUND(IF(AH32=0,0,AH32/ABS(AE32)),3)</f>
        <v>5.8000000000000003E-2</v>
      </c>
    </row>
    <row r="33" spans="1:37" ht="16.5" customHeight="1">
      <c r="A33" s="412"/>
      <c r="B33" s="412"/>
      <c r="C33" s="653"/>
      <c r="D33" s="424"/>
      <c r="E33" s="654"/>
      <c r="F33" s="434"/>
      <c r="G33" s="654"/>
      <c r="H33" s="434"/>
      <c r="I33" s="654"/>
      <c r="J33" s="434"/>
      <c r="K33" s="654"/>
      <c r="L33" s="434"/>
      <c r="M33" s="654"/>
      <c r="N33" s="434"/>
      <c r="O33" s="654"/>
      <c r="P33" s="434"/>
      <c r="Q33" s="654"/>
      <c r="R33" s="434"/>
      <c r="S33" s="654"/>
      <c r="T33" s="434"/>
      <c r="U33" s="654"/>
      <c r="V33" s="434"/>
      <c r="W33" s="2814"/>
      <c r="X33" s="434"/>
      <c r="Y33" s="654"/>
      <c r="Z33" s="424"/>
      <c r="AA33" s="425"/>
      <c r="AB33" s="653"/>
      <c r="AC33" s="424"/>
      <c r="AD33" s="425"/>
      <c r="AE33" s="653"/>
      <c r="AF33" s="1516"/>
      <c r="AG33" s="1902"/>
      <c r="AH33" s="1920"/>
      <c r="AI33" s="1929"/>
      <c r="AJ33" s="1924"/>
    </row>
    <row r="34" spans="1:37" ht="16.5" customHeight="1">
      <c r="A34" s="421" t="s">
        <v>158</v>
      </c>
      <c r="B34" s="412"/>
      <c r="C34" s="435">
        <f>ROUND(SUM(C29:C33),1)</f>
        <v>194.9</v>
      </c>
      <c r="D34" s="426"/>
      <c r="E34" s="435">
        <f>ROUND(SUM(E29:E33),1)</f>
        <v>0</v>
      </c>
      <c r="F34" s="435"/>
      <c r="G34" s="435">
        <f>ROUND(SUM(G29:G33),1)</f>
        <v>0</v>
      </c>
      <c r="H34" s="435"/>
      <c r="I34" s="435">
        <f>ROUND(SUM(I29:I33),1)</f>
        <v>0</v>
      </c>
      <c r="J34" s="435"/>
      <c r="K34" s="1549">
        <f>ROUND(SUM(K29:K33),1)</f>
        <v>0</v>
      </c>
      <c r="L34" s="656"/>
      <c r="M34" s="1549">
        <f>ROUND(SUM(M29:M33),1)</f>
        <v>0</v>
      </c>
      <c r="N34" s="435"/>
      <c r="O34" s="435">
        <f>ROUND(SUM(O29:O33),1)</f>
        <v>0</v>
      </c>
      <c r="P34" s="435"/>
      <c r="Q34" s="435">
        <f>ROUND(SUM(Q29:Q33),1)</f>
        <v>0</v>
      </c>
      <c r="R34" s="435"/>
      <c r="S34" s="435">
        <f>ROUND(SUM(S29:S33),1)</f>
        <v>0</v>
      </c>
      <c r="T34" s="435"/>
      <c r="U34" s="435">
        <f>ROUND(SUM(U29:U33),1)</f>
        <v>0</v>
      </c>
      <c r="V34" s="435"/>
      <c r="W34" s="435">
        <f>ROUND(SUM(W29:W33),1)</f>
        <v>0</v>
      </c>
      <c r="X34" s="435"/>
      <c r="Y34" s="435">
        <f>ROUND(SUM(Y29:Y33),1)</f>
        <v>0</v>
      </c>
      <c r="Z34" s="426"/>
      <c r="AA34" s="427"/>
      <c r="AB34" s="435">
        <f>ROUND(SUM(AB29:AB33),1)</f>
        <v>194.9</v>
      </c>
      <c r="AC34" s="655"/>
      <c r="AD34" s="426"/>
      <c r="AE34" s="435">
        <f>ROUND(SUM(AE29:AE33),1)</f>
        <v>184.2</v>
      </c>
      <c r="AF34" s="433"/>
      <c r="AG34" s="1899"/>
      <c r="AH34" s="1921">
        <f>ROUND(SUM(AH29:AH32),1)</f>
        <v>10.7</v>
      </c>
      <c r="AI34" s="1922"/>
      <c r="AJ34" s="1923">
        <f>ROUND(IF(AH34=0,0,AH34/ABS(AE34)),3)</f>
        <v>5.8000000000000003E-2</v>
      </c>
      <c r="AK34" s="650"/>
    </row>
    <row r="35" spans="1:37" ht="16.5" customHeight="1">
      <c r="A35" s="412"/>
      <c r="B35" s="412"/>
      <c r="C35" s="653"/>
      <c r="D35" s="424"/>
      <c r="E35" s="654"/>
      <c r="F35" s="434"/>
      <c r="G35" s="654"/>
      <c r="H35" s="434"/>
      <c r="I35" s="654"/>
      <c r="J35" s="434"/>
      <c r="K35" s="432"/>
      <c r="L35" s="434"/>
      <c r="M35" s="432"/>
      <c r="N35" s="434"/>
      <c r="O35" s="654"/>
      <c r="P35" s="434"/>
      <c r="Q35" s="654"/>
      <c r="R35" s="434"/>
      <c r="S35" s="654"/>
      <c r="T35" s="434"/>
      <c r="U35" s="654"/>
      <c r="V35" s="434"/>
      <c r="W35" s="654"/>
      <c r="X35" s="434"/>
      <c r="Y35" s="654"/>
      <c r="Z35" s="424"/>
      <c r="AA35" s="425"/>
      <c r="AB35" s="653"/>
      <c r="AC35" s="431"/>
      <c r="AD35" s="425"/>
      <c r="AE35" s="653"/>
      <c r="AF35" s="428"/>
      <c r="AG35" s="1899"/>
      <c r="AH35" s="1920"/>
      <c r="AJ35" s="1907"/>
    </row>
    <row r="36" spans="1:37" ht="16.5" customHeight="1">
      <c r="A36" s="412"/>
      <c r="B36" s="412"/>
      <c r="C36" s="424"/>
      <c r="D36" s="424"/>
      <c r="E36" s="434" t="s">
        <v>15</v>
      </c>
      <c r="F36" s="434"/>
      <c r="G36" s="434"/>
      <c r="H36" s="434"/>
      <c r="I36" s="434"/>
      <c r="J36" s="434"/>
      <c r="K36" s="434"/>
      <c r="L36" s="434"/>
      <c r="M36" s="434"/>
      <c r="N36" s="434"/>
      <c r="O36" s="434"/>
      <c r="P36" s="434"/>
      <c r="Q36" s="434"/>
      <c r="R36" s="434"/>
      <c r="S36" s="434"/>
      <c r="T36" s="434"/>
      <c r="U36" s="434"/>
      <c r="V36" s="434"/>
      <c r="W36" s="434"/>
      <c r="X36" s="434"/>
      <c r="Y36" s="434"/>
      <c r="Z36" s="424"/>
      <c r="AA36" s="425"/>
      <c r="AB36" s="424"/>
      <c r="AC36" s="431"/>
      <c r="AD36" s="425"/>
      <c r="AE36" s="424"/>
      <c r="AF36" s="684"/>
      <c r="AG36" s="1903"/>
      <c r="AH36" s="1920"/>
      <c r="AI36" s="1925"/>
      <c r="AJ36" s="1924"/>
    </row>
    <row r="37" spans="1:37" ht="16.5" customHeight="1">
      <c r="A37" s="412"/>
      <c r="B37" s="412"/>
      <c r="C37" s="424"/>
      <c r="D37" s="424"/>
      <c r="E37" s="434"/>
      <c r="F37" s="434"/>
      <c r="G37" s="434"/>
      <c r="H37" s="434"/>
      <c r="I37" s="434"/>
      <c r="J37" s="434"/>
      <c r="K37" s="434"/>
      <c r="L37" s="434"/>
      <c r="M37" s="434"/>
      <c r="N37" s="434"/>
      <c r="O37" s="434"/>
      <c r="P37" s="434"/>
      <c r="Q37" s="434"/>
      <c r="R37" s="434"/>
      <c r="S37" s="434"/>
      <c r="T37" s="434"/>
      <c r="U37" s="434"/>
      <c r="V37" s="434"/>
      <c r="W37" s="434"/>
      <c r="X37" s="434"/>
      <c r="Y37" s="434"/>
      <c r="Z37" s="424"/>
      <c r="AA37" s="425"/>
      <c r="AB37" s="424"/>
      <c r="AC37" s="431"/>
      <c r="AD37" s="425"/>
      <c r="AE37" s="424"/>
      <c r="AF37" s="1501"/>
      <c r="AG37" s="1904"/>
      <c r="AH37" s="1920"/>
      <c r="AI37" s="1925"/>
      <c r="AJ37" s="1924"/>
    </row>
    <row r="38" spans="1:37" ht="16.5" customHeight="1">
      <c r="A38" s="421" t="s">
        <v>159</v>
      </c>
      <c r="B38" s="412"/>
      <c r="C38" s="424"/>
      <c r="D38" s="424"/>
      <c r="E38" s="434" t="s">
        <v>15</v>
      </c>
      <c r="F38" s="434"/>
      <c r="G38" s="434"/>
      <c r="H38" s="434"/>
      <c r="I38" s="434"/>
      <c r="J38" s="434"/>
      <c r="K38" s="434"/>
      <c r="L38" s="434"/>
      <c r="M38" s="434"/>
      <c r="N38" s="434"/>
      <c r="O38" s="434"/>
      <c r="P38" s="434"/>
      <c r="Q38" s="434"/>
      <c r="R38" s="434"/>
      <c r="S38" s="434"/>
      <c r="T38" s="434"/>
      <c r="U38" s="434"/>
      <c r="V38" s="434"/>
      <c r="W38" s="434"/>
      <c r="X38" s="434"/>
      <c r="Y38" s="434"/>
      <c r="Z38" s="424"/>
      <c r="AA38" s="425"/>
      <c r="AB38" s="424"/>
      <c r="AC38" s="431"/>
      <c r="AD38" s="425"/>
      <c r="AE38" s="424"/>
      <c r="AF38" s="672"/>
      <c r="AG38" s="1905"/>
      <c r="AH38" s="1920"/>
      <c r="AI38" s="1925"/>
      <c r="AJ38" s="1924"/>
    </row>
    <row r="39" spans="1:37" ht="16.5" customHeight="1">
      <c r="A39" s="421" t="s">
        <v>45</v>
      </c>
      <c r="B39" s="412"/>
      <c r="C39" s="435">
        <f>ROUND(C23-C34,1)</f>
        <v>1.1000000000000001</v>
      </c>
      <c r="D39" s="426"/>
      <c r="E39" s="435">
        <f>ROUND(E23-E34,1)</f>
        <v>0</v>
      </c>
      <c r="F39" s="435"/>
      <c r="G39" s="435">
        <f>ROUND(G23-G34,1)</f>
        <v>0</v>
      </c>
      <c r="H39" s="435"/>
      <c r="I39" s="435">
        <f>ROUND(I23-I34,1)</f>
        <v>0</v>
      </c>
      <c r="J39" s="435"/>
      <c r="K39" s="435">
        <f>ROUND(K23-K34,1)</f>
        <v>0</v>
      </c>
      <c r="L39" s="435"/>
      <c r="M39" s="435">
        <f>ROUND(M23-M34,1)</f>
        <v>0</v>
      </c>
      <c r="N39" s="435"/>
      <c r="O39" s="435">
        <f>ROUND(O23-O34,1)</f>
        <v>0</v>
      </c>
      <c r="P39" s="435"/>
      <c r="Q39" s="435">
        <f>ROUND(Q23-Q34,1)</f>
        <v>0</v>
      </c>
      <c r="R39" s="435"/>
      <c r="S39" s="435">
        <f>ROUND(S23-S34,1)</f>
        <v>0</v>
      </c>
      <c r="T39" s="435"/>
      <c r="U39" s="435">
        <f>ROUND(U23-U34,1)</f>
        <v>0</v>
      </c>
      <c r="V39" s="435"/>
      <c r="W39" s="435">
        <f>ROUND(W23-W34,1)</f>
        <v>0</v>
      </c>
      <c r="X39" s="435"/>
      <c r="Y39" s="435">
        <f>ROUND(Y23-Y34,1)</f>
        <v>0</v>
      </c>
      <c r="Z39" s="426"/>
      <c r="AA39" s="427"/>
      <c r="AB39" s="435">
        <f>ROUND(AB23-AB34,1)</f>
        <v>1.1000000000000001</v>
      </c>
      <c r="AC39" s="655"/>
      <c r="AD39" s="426"/>
      <c r="AE39" s="435">
        <f>ROUND(AE23-AE34,1)</f>
        <v>1.7</v>
      </c>
      <c r="AF39" s="1508"/>
      <c r="AG39" s="1903"/>
      <c r="AH39" s="1921">
        <f>ROUND(SUM(AH23-AH34),1)</f>
        <v>-0.6</v>
      </c>
      <c r="AI39" s="1922"/>
      <c r="AJ39" s="1923">
        <f>ROUND(IF(AH39=0,0,AH39/ABS(AE39)),3)</f>
        <v>-0.35299999999999998</v>
      </c>
    </row>
    <row r="40" spans="1:37" ht="16.5" customHeight="1">
      <c r="A40" s="412"/>
      <c r="B40" s="412"/>
      <c r="C40" s="653"/>
      <c r="D40" s="424"/>
      <c r="E40" s="654"/>
      <c r="F40" s="434"/>
      <c r="G40" s="654"/>
      <c r="H40" s="434"/>
      <c r="I40" s="654"/>
      <c r="J40" s="434"/>
      <c r="K40" s="654"/>
      <c r="L40" s="434"/>
      <c r="M40" s="654"/>
      <c r="N40" s="434"/>
      <c r="O40" s="654"/>
      <c r="P40" s="434"/>
      <c r="Q40" s="654"/>
      <c r="R40" s="434"/>
      <c r="S40" s="654"/>
      <c r="T40" s="434"/>
      <c r="U40" s="654"/>
      <c r="V40" s="434"/>
      <c r="W40" s="654"/>
      <c r="X40" s="434"/>
      <c r="Y40" s="654"/>
      <c r="Z40" s="424"/>
      <c r="AA40" s="425"/>
      <c r="AB40" s="653"/>
      <c r="AC40" s="431"/>
      <c r="AD40" s="425"/>
      <c r="AE40" s="653"/>
      <c r="AF40" s="247"/>
      <c r="AG40" s="1903"/>
      <c r="AH40" s="1920"/>
      <c r="AJ40" s="1907"/>
    </row>
    <row r="41" spans="1:37" ht="16.5" customHeight="1">
      <c r="A41" s="412"/>
      <c r="B41" s="412"/>
      <c r="C41" s="424"/>
      <c r="D41" s="424"/>
      <c r="E41" s="434"/>
      <c r="F41" s="434"/>
      <c r="G41" s="434"/>
      <c r="H41" s="434"/>
      <c r="I41" s="434"/>
      <c r="J41" s="434"/>
      <c r="K41" s="434"/>
      <c r="L41" s="434"/>
      <c r="M41" s="434"/>
      <c r="N41" s="434"/>
      <c r="O41" s="434"/>
      <c r="P41" s="434"/>
      <c r="Q41" s="434"/>
      <c r="R41" s="434"/>
      <c r="S41" s="434"/>
      <c r="T41" s="434"/>
      <c r="U41" s="434"/>
      <c r="V41" s="434"/>
      <c r="W41" s="434"/>
      <c r="X41" s="434"/>
      <c r="Y41" s="434"/>
      <c r="Z41" s="424"/>
      <c r="AA41" s="425"/>
      <c r="AB41" s="424"/>
      <c r="AC41" s="424"/>
      <c r="AD41" s="425"/>
      <c r="AE41" s="424"/>
      <c r="AF41" s="355"/>
      <c r="AG41" s="1903"/>
      <c r="AH41" s="1920"/>
      <c r="AJ41" s="1907"/>
    </row>
    <row r="42" spans="1:37" ht="16.5" customHeight="1">
      <c r="A42" s="412"/>
      <c r="B42" s="412"/>
      <c r="C42" s="424"/>
      <c r="D42" s="424"/>
      <c r="E42" s="434"/>
      <c r="F42" s="434"/>
      <c r="G42" s="434"/>
      <c r="H42" s="434"/>
      <c r="I42" s="434"/>
      <c r="J42" s="434"/>
      <c r="K42" s="434"/>
      <c r="L42" s="434"/>
      <c r="M42" s="434"/>
      <c r="N42" s="434"/>
      <c r="O42" s="434"/>
      <c r="P42" s="434"/>
      <c r="Q42" s="434"/>
      <c r="R42" s="434"/>
      <c r="S42" s="434"/>
      <c r="T42" s="434"/>
      <c r="U42" s="434"/>
      <c r="V42" s="434"/>
      <c r="W42" s="434"/>
      <c r="X42" s="434"/>
      <c r="Y42" s="434"/>
      <c r="Z42" s="424"/>
      <c r="AA42" s="425"/>
      <c r="AB42" s="424"/>
      <c r="AC42" s="424"/>
      <c r="AD42" s="425"/>
      <c r="AE42" s="424"/>
      <c r="AG42" s="1900"/>
      <c r="AH42" s="1920"/>
      <c r="AJ42" s="1924"/>
    </row>
    <row r="43" spans="1:37" s="2823" customFormat="1" ht="16.5" customHeight="1">
      <c r="A43" s="2815" t="s">
        <v>46</v>
      </c>
      <c r="B43" s="2816"/>
      <c r="C43" s="424"/>
      <c r="D43" s="424"/>
      <c r="E43" s="434"/>
      <c r="F43" s="434"/>
      <c r="G43" s="434"/>
      <c r="H43" s="434"/>
      <c r="I43" s="434"/>
      <c r="J43" s="2813"/>
      <c r="K43" s="2817"/>
      <c r="L43" s="2813"/>
      <c r="M43" s="2817"/>
      <c r="N43" s="2813"/>
      <c r="O43" s="2813"/>
      <c r="P43" s="2813"/>
      <c r="Q43" s="2813"/>
      <c r="R43" s="2813"/>
      <c r="S43" s="2813"/>
      <c r="T43" s="2813"/>
      <c r="U43" s="2813"/>
      <c r="V43" s="2813"/>
      <c r="W43" s="2813"/>
      <c r="X43" s="2813"/>
      <c r="Y43" s="2813"/>
      <c r="Z43" s="2593"/>
      <c r="AA43" s="2818"/>
      <c r="AB43" s="2593"/>
      <c r="AC43" s="2593"/>
      <c r="AD43" s="2818"/>
      <c r="AE43" s="2593"/>
      <c r="AF43" s="329"/>
      <c r="AG43" s="2819"/>
      <c r="AH43" s="2820"/>
      <c r="AI43" s="2821"/>
      <c r="AJ43" s="2822"/>
    </row>
    <row r="44" spans="1:37" ht="16.5" customHeight="1">
      <c r="A44" s="412" t="s">
        <v>184</v>
      </c>
      <c r="B44" s="412"/>
      <c r="C44" s="424">
        <f>$AB44</f>
        <v>0</v>
      </c>
      <c r="D44" s="424"/>
      <c r="E44" s="3064" t="s">
        <v>15</v>
      </c>
      <c r="F44" s="434"/>
      <c r="G44" s="3064"/>
      <c r="H44" s="3064"/>
      <c r="I44" s="3064"/>
      <c r="J44" s="434"/>
      <c r="K44" s="2812"/>
      <c r="L44" s="434"/>
      <c r="M44" s="2812"/>
      <c r="N44" s="434"/>
      <c r="O44" s="2812"/>
      <c r="P44" s="434"/>
      <c r="Q44" s="2812"/>
      <c r="R44" s="434"/>
      <c r="S44" s="2812"/>
      <c r="T44" s="434"/>
      <c r="U44" s="2812"/>
      <c r="V44" s="434"/>
      <c r="W44" s="2812"/>
      <c r="X44" s="434"/>
      <c r="Y44" s="2812"/>
      <c r="Z44" s="424"/>
      <c r="AA44" s="425"/>
      <c r="AB44" s="2812">
        <v>0</v>
      </c>
      <c r="AC44" s="424"/>
      <c r="AD44" s="425"/>
      <c r="AE44" s="2812">
        <v>0</v>
      </c>
      <c r="AF44" s="355"/>
      <c r="AG44" s="1903"/>
      <c r="AH44" s="1920">
        <f>ROUND(SUM(AB44-AE44),1)</f>
        <v>0</v>
      </c>
      <c r="AJ44" s="2288">
        <f>ROUND(IF(AH44=0,0,AH44/ABS(AE44)),3)</f>
        <v>0</v>
      </c>
    </row>
    <row r="45" spans="1:37" ht="16.5" customHeight="1">
      <c r="A45" s="412" t="s">
        <v>185</v>
      </c>
      <c r="B45" s="412"/>
      <c r="C45" s="424">
        <f>$AB45</f>
        <v>0</v>
      </c>
      <c r="D45" s="424"/>
      <c r="E45" s="3064" t="s">
        <v>15</v>
      </c>
      <c r="F45" s="434"/>
      <c r="G45" s="3064"/>
      <c r="H45" s="3064"/>
      <c r="I45" s="3064"/>
      <c r="J45" s="434"/>
      <c r="K45" s="2812"/>
      <c r="L45" s="434"/>
      <c r="M45" s="2812"/>
      <c r="N45" s="434"/>
      <c r="O45" s="2812"/>
      <c r="P45" s="434"/>
      <c r="Q45" s="2812"/>
      <c r="R45" s="434"/>
      <c r="S45" s="2812"/>
      <c r="T45" s="434"/>
      <c r="U45" s="2812"/>
      <c r="V45" s="434"/>
      <c r="W45" s="2812"/>
      <c r="X45" s="434"/>
      <c r="Y45" s="2812"/>
      <c r="Z45" s="424"/>
      <c r="AA45" s="425"/>
      <c r="AB45" s="2812">
        <v>0</v>
      </c>
      <c r="AC45" s="424"/>
      <c r="AD45" s="425"/>
      <c r="AE45" s="2812">
        <v>0</v>
      </c>
      <c r="AF45" s="355"/>
      <c r="AG45" s="1903"/>
      <c r="AH45" s="2290">
        <f>-ROUND(SUM(AB45-AE45),1)</f>
        <v>0</v>
      </c>
      <c r="AJ45" s="2486">
        <f>ROUND(IF(AH45=0,0,AH45/ABS(AE45)),3)</f>
        <v>0</v>
      </c>
    </row>
    <row r="46" spans="1:37" ht="16.5" customHeight="1">
      <c r="A46" s="412"/>
      <c r="B46" s="412"/>
      <c r="C46" s="653"/>
      <c r="D46" s="424"/>
      <c r="E46" s="653"/>
      <c r="F46" s="434"/>
      <c r="G46" s="653"/>
      <c r="H46" s="434"/>
      <c r="I46" s="653"/>
      <c r="J46" s="434"/>
      <c r="K46" s="653"/>
      <c r="L46" s="434"/>
      <c r="M46" s="653"/>
      <c r="N46" s="434"/>
      <c r="O46" s="653"/>
      <c r="P46" s="434"/>
      <c r="Q46" s="653"/>
      <c r="R46" s="434"/>
      <c r="S46" s="653"/>
      <c r="T46" s="434"/>
      <c r="U46" s="654"/>
      <c r="V46" s="434"/>
      <c r="W46" s="654"/>
      <c r="X46" s="434"/>
      <c r="Y46" s="654"/>
      <c r="Z46" s="424"/>
      <c r="AA46" s="425"/>
      <c r="AB46" s="653"/>
      <c r="AC46" s="424"/>
      <c r="AD46" s="425"/>
      <c r="AE46" s="653"/>
      <c r="AF46" s="355"/>
      <c r="AG46" s="1903"/>
      <c r="AH46" s="1916"/>
      <c r="AJ46" s="2356"/>
    </row>
    <row r="47" spans="1:37" ht="16.5" customHeight="1">
      <c r="A47" s="421" t="s">
        <v>211</v>
      </c>
      <c r="B47" s="412"/>
      <c r="C47" s="657">
        <f>ROUND(SUM(C44:C46),1)</f>
        <v>0</v>
      </c>
      <c r="D47" s="426"/>
      <c r="E47" s="657">
        <f>ROUND(SUM(E44:E46),1)</f>
        <v>0</v>
      </c>
      <c r="F47" s="435"/>
      <c r="G47" s="657">
        <f>ROUND(SUM(G44:G46),1)</f>
        <v>0</v>
      </c>
      <c r="H47" s="435"/>
      <c r="I47" s="657">
        <f>ROUND(SUM(I44:I46),1)</f>
        <v>0</v>
      </c>
      <c r="J47" s="435"/>
      <c r="K47" s="657">
        <f>ROUND(SUM(K44:K46),1)</f>
        <v>0</v>
      </c>
      <c r="L47" s="435"/>
      <c r="M47" s="657">
        <f>ROUND(SUM(M44:M46),1)</f>
        <v>0</v>
      </c>
      <c r="N47" s="435"/>
      <c r="O47" s="657">
        <f>ROUND(SUM(O44:O46),1)</f>
        <v>0</v>
      </c>
      <c r="P47" s="435"/>
      <c r="Q47" s="657">
        <f>ROUND(SUM(Q44:Q46),1)</f>
        <v>0</v>
      </c>
      <c r="R47" s="435"/>
      <c r="S47" s="657">
        <f>ROUND(SUM(S44:S46),1)</f>
        <v>0</v>
      </c>
      <c r="T47" s="435"/>
      <c r="U47" s="657">
        <f>ROUND(SUM(U44:U46),1)</f>
        <v>0</v>
      </c>
      <c r="V47" s="435"/>
      <c r="W47" s="657">
        <f>ROUND(SUM(W44:W46),1)</f>
        <v>0</v>
      </c>
      <c r="X47" s="435"/>
      <c r="Y47" s="657">
        <f>ROUND(SUM(Y44:Y46),1)</f>
        <v>0</v>
      </c>
      <c r="Z47" s="426"/>
      <c r="AA47" s="427"/>
      <c r="AB47" s="2289">
        <f>ROUND(SUM(AB44+AB45),1)</f>
        <v>0</v>
      </c>
      <c r="AC47" s="655"/>
      <c r="AD47" s="426"/>
      <c r="AE47" s="2289">
        <f>ROUND(SUM(AE44+AE45),1)</f>
        <v>0</v>
      </c>
      <c r="AF47" s="218"/>
      <c r="AG47" s="1900"/>
      <c r="AH47" s="1921">
        <f>ROUND(SUM(AH44:AH45),1)</f>
        <v>0</v>
      </c>
      <c r="AI47" s="1932"/>
      <c r="AJ47" s="1923">
        <f>ROUND(IF(AH47=0,0,AH47/ABS(AE47)),3)</f>
        <v>0</v>
      </c>
    </row>
    <row r="48" spans="1:37" ht="16.5" customHeight="1">
      <c r="A48" s="412"/>
      <c r="B48" s="412"/>
      <c r="C48" s="653"/>
      <c r="D48" s="424"/>
      <c r="E48" s="654"/>
      <c r="F48" s="434"/>
      <c r="G48" s="654"/>
      <c r="H48" s="434"/>
      <c r="I48" s="654"/>
      <c r="J48" s="434"/>
      <c r="K48" s="654"/>
      <c r="L48" s="434"/>
      <c r="M48" s="654"/>
      <c r="N48" s="434"/>
      <c r="O48" s="654"/>
      <c r="P48" s="434"/>
      <c r="Q48" s="654"/>
      <c r="R48" s="434"/>
      <c r="S48" s="654"/>
      <c r="T48" s="434"/>
      <c r="U48" s="654"/>
      <c r="V48" s="434"/>
      <c r="W48" s="654"/>
      <c r="X48" s="434"/>
      <c r="Y48" s="654"/>
      <c r="Z48" s="424"/>
      <c r="AA48" s="425"/>
      <c r="AB48" s="653"/>
      <c r="AC48" s="424"/>
      <c r="AD48" s="425"/>
      <c r="AE48" s="653"/>
      <c r="AG48" s="1900"/>
      <c r="AH48" s="1916"/>
    </row>
    <row r="49" spans="1:39" ht="16.5" customHeight="1">
      <c r="A49" s="412"/>
      <c r="B49" s="412"/>
      <c r="C49" s="424"/>
      <c r="D49" s="424"/>
      <c r="E49" s="434"/>
      <c r="F49" s="434"/>
      <c r="G49" s="434"/>
      <c r="H49" s="434"/>
      <c r="I49" s="434"/>
      <c r="J49" s="434"/>
      <c r="K49" s="434"/>
      <c r="L49" s="434"/>
      <c r="M49" s="434"/>
      <c r="N49" s="434"/>
      <c r="O49" s="434"/>
      <c r="P49" s="434"/>
      <c r="Q49" s="434"/>
      <c r="R49" s="434"/>
      <c r="S49" s="434"/>
      <c r="T49" s="434"/>
      <c r="U49" s="434"/>
      <c r="V49" s="434"/>
      <c r="W49" s="434"/>
      <c r="X49" s="434"/>
      <c r="Y49" s="434"/>
      <c r="Z49" s="424"/>
      <c r="AA49" s="425"/>
      <c r="AB49" s="424"/>
      <c r="AC49" s="424"/>
      <c r="AD49" s="425"/>
      <c r="AE49" s="424"/>
      <c r="AG49" s="1900"/>
      <c r="AH49" s="1916"/>
    </row>
    <row r="50" spans="1:39" ht="16.5" customHeight="1">
      <c r="A50" s="412"/>
      <c r="B50" s="412"/>
      <c r="C50" s="424"/>
      <c r="D50" s="424"/>
      <c r="E50" s="434"/>
      <c r="F50" s="434"/>
      <c r="G50" s="434"/>
      <c r="H50" s="434"/>
      <c r="I50" s="434"/>
      <c r="J50" s="434"/>
      <c r="K50" s="434"/>
      <c r="L50" s="434"/>
      <c r="M50" s="434"/>
      <c r="N50" s="434"/>
      <c r="O50" s="434"/>
      <c r="P50" s="434"/>
      <c r="Q50" s="434"/>
      <c r="R50" s="434"/>
      <c r="S50" s="434"/>
      <c r="T50" s="434"/>
      <c r="U50" s="434"/>
      <c r="V50" s="434"/>
      <c r="W50" s="434"/>
      <c r="X50" s="434"/>
      <c r="Y50" s="434"/>
      <c r="Z50" s="424"/>
      <c r="AA50" s="425"/>
      <c r="AB50" s="424"/>
      <c r="AC50" s="424"/>
      <c r="AD50" s="425"/>
      <c r="AE50" s="424"/>
      <c r="AG50" s="1900"/>
    </row>
    <row r="51" spans="1:39" ht="16.5" customHeight="1">
      <c r="A51" s="421" t="s">
        <v>168</v>
      </c>
      <c r="B51" s="412"/>
      <c r="C51" s="424"/>
      <c r="D51" s="424"/>
      <c r="E51" s="434"/>
      <c r="F51" s="434"/>
      <c r="G51" s="434"/>
      <c r="H51" s="434"/>
      <c r="I51" s="434"/>
      <c r="J51" s="434"/>
      <c r="K51" s="434"/>
      <c r="L51" s="434"/>
      <c r="M51" s="434"/>
      <c r="N51" s="434"/>
      <c r="O51" s="434"/>
      <c r="P51" s="434"/>
      <c r="Q51" s="434"/>
      <c r="R51" s="434"/>
      <c r="S51" s="434"/>
      <c r="T51" s="434"/>
      <c r="U51" s="434"/>
      <c r="V51" s="434"/>
      <c r="W51" s="434"/>
      <c r="X51" s="434"/>
      <c r="Y51" s="434"/>
      <c r="Z51" s="424"/>
      <c r="AA51" s="425"/>
      <c r="AB51" s="424"/>
      <c r="AC51" s="424"/>
      <c r="AD51" s="425"/>
      <c r="AE51" s="424"/>
      <c r="AG51" s="1900"/>
    </row>
    <row r="52" spans="1:39" ht="16.5" customHeight="1">
      <c r="A52" s="421" t="s">
        <v>230</v>
      </c>
      <c r="B52" s="412"/>
      <c r="C52" s="424"/>
      <c r="D52" s="424"/>
      <c r="E52" s="434"/>
      <c r="F52" s="434"/>
      <c r="G52" s="434"/>
      <c r="H52" s="434"/>
      <c r="I52" s="434"/>
      <c r="J52" s="434"/>
      <c r="K52" s="658"/>
      <c r="L52" s="434"/>
      <c r="M52" s="434"/>
      <c r="N52" s="434"/>
      <c r="O52" s="434"/>
      <c r="P52" s="434"/>
      <c r="Q52" s="434"/>
      <c r="R52" s="434"/>
      <c r="S52" s="434"/>
      <c r="T52" s="434"/>
      <c r="U52" s="434"/>
      <c r="V52" s="434"/>
      <c r="W52" s="434"/>
      <c r="X52" s="434"/>
      <c r="Y52" s="434"/>
      <c r="Z52" s="424"/>
      <c r="AA52" s="425"/>
      <c r="AB52" s="424"/>
      <c r="AC52" s="424"/>
      <c r="AD52" s="425"/>
      <c r="AE52" s="424"/>
      <c r="AG52" s="1900"/>
    </row>
    <row r="53" spans="1:39" ht="16.5" customHeight="1">
      <c r="A53" s="421" t="s">
        <v>170</v>
      </c>
      <c r="B53" s="412"/>
      <c r="C53" s="435">
        <f>ROUND(C39+C47,1)</f>
        <v>1.1000000000000001</v>
      </c>
      <c r="D53" s="426"/>
      <c r="E53" s="435">
        <f>ROUND(E39+E47,1)</f>
        <v>0</v>
      </c>
      <c r="F53" s="435"/>
      <c r="G53" s="435">
        <f>ROUND(G39+G47,1)</f>
        <v>0</v>
      </c>
      <c r="H53" s="435"/>
      <c r="I53" s="435">
        <f>ROUND(I39+I47,1)</f>
        <v>0</v>
      </c>
      <c r="J53" s="435"/>
      <c r="K53" s="1549">
        <f>ROUND(K39+K47,1)</f>
        <v>0</v>
      </c>
      <c r="L53" s="435"/>
      <c r="M53" s="435">
        <f>ROUND(M39+M47,1)</f>
        <v>0</v>
      </c>
      <c r="N53" s="435"/>
      <c r="O53" s="435">
        <f>ROUND(O39+O47,1)</f>
        <v>0</v>
      </c>
      <c r="P53" s="435"/>
      <c r="Q53" s="435">
        <f>ROUND(Q39+Q47,1)</f>
        <v>0</v>
      </c>
      <c r="R53" s="435"/>
      <c r="S53" s="435">
        <f>ROUND(S39+S47,1)</f>
        <v>0</v>
      </c>
      <c r="T53" s="435"/>
      <c r="U53" s="435">
        <f>ROUND(U39+U47,1)</f>
        <v>0</v>
      </c>
      <c r="V53" s="435"/>
      <c r="W53" s="435">
        <f>ROUND(W39+W47,1)</f>
        <v>0</v>
      </c>
      <c r="X53" s="435"/>
      <c r="Y53" s="435">
        <f>ROUND(Y39+Y47,1)</f>
        <v>0</v>
      </c>
      <c r="Z53" s="426"/>
      <c r="AA53" s="427"/>
      <c r="AB53" s="435">
        <f>ROUND(AB39+AB47,1)</f>
        <v>1.1000000000000001</v>
      </c>
      <c r="AC53" s="655"/>
      <c r="AD53" s="426"/>
      <c r="AE53" s="435">
        <f>ROUND(AE39+AE47,1)</f>
        <v>1.7</v>
      </c>
      <c r="AG53" s="1900"/>
      <c r="AH53" s="1921">
        <f>ROUND(SUM(AH39+AH47),1)</f>
        <v>-0.6</v>
      </c>
      <c r="AI53" s="1896"/>
      <c r="AJ53" s="1923">
        <f>ROUND(IF(AH53=0,0,AH53/ABS(AE53)),3)</f>
        <v>-0.35299999999999998</v>
      </c>
      <c r="AK53" s="650"/>
      <c r="AL53" s="650"/>
      <c r="AM53" s="650"/>
    </row>
    <row r="54" spans="1:39" ht="16.5" customHeight="1">
      <c r="A54" s="412"/>
      <c r="B54" s="412"/>
      <c r="C54" s="659"/>
      <c r="D54" s="421"/>
      <c r="E54" s="660"/>
      <c r="F54" s="661"/>
      <c r="G54" s="660"/>
      <c r="H54" s="661"/>
      <c r="I54" s="660"/>
      <c r="J54" s="661"/>
      <c r="K54" s="662"/>
      <c r="L54" s="661"/>
      <c r="M54" s="660"/>
      <c r="N54" s="661"/>
      <c r="O54" s="660"/>
      <c r="P54" s="661"/>
      <c r="Q54" s="660"/>
      <c r="R54" s="661"/>
      <c r="S54" s="660"/>
      <c r="T54" s="661"/>
      <c r="U54" s="660"/>
      <c r="V54" s="661"/>
      <c r="W54" s="660"/>
      <c r="X54" s="661"/>
      <c r="Y54" s="660"/>
      <c r="Z54" s="421"/>
      <c r="AA54" s="663"/>
      <c r="AB54" s="659"/>
      <c r="AC54" s="421"/>
      <c r="AD54" s="663"/>
      <c r="AE54" s="659"/>
      <c r="AG54" s="1900"/>
      <c r="AJ54" s="1907"/>
      <c r="AK54" s="650"/>
      <c r="AL54" s="650"/>
      <c r="AM54" s="650"/>
    </row>
    <row r="55" spans="1:39" ht="16.5" customHeight="1" thickBot="1">
      <c r="A55" s="421" t="s">
        <v>143</v>
      </c>
      <c r="B55" s="412"/>
      <c r="C55" s="419">
        <f>ROUND(C16+C53,1)</f>
        <v>25.7</v>
      </c>
      <c r="D55" s="419"/>
      <c r="E55" s="419">
        <f>ROUND(E16+E53,1)</f>
        <v>0</v>
      </c>
      <c r="F55" s="649"/>
      <c r="G55" s="419">
        <f>ROUND(G16+G53,1)</f>
        <v>0</v>
      </c>
      <c r="H55" s="649"/>
      <c r="I55" s="1551">
        <f>ROUND(I16+I53,1)</f>
        <v>0</v>
      </c>
      <c r="J55" s="664"/>
      <c r="K55" s="419">
        <f>ROUND(K16+K53,1)</f>
        <v>0</v>
      </c>
      <c r="L55" s="664"/>
      <c r="M55" s="419">
        <f>ROUND(M16+M53,1)</f>
        <v>0</v>
      </c>
      <c r="N55" s="649"/>
      <c r="O55" s="419">
        <f>ROUND(O16+O53,1)</f>
        <v>0</v>
      </c>
      <c r="P55" s="649"/>
      <c r="Q55" s="419">
        <f>ROUND(Q16+Q53,1)</f>
        <v>0</v>
      </c>
      <c r="R55" s="649"/>
      <c r="S55" s="419">
        <f>ROUND(S16+S53,1)</f>
        <v>0</v>
      </c>
      <c r="T55" s="649"/>
      <c r="U55" s="419">
        <f>ROUND(U16+U53,1)</f>
        <v>0</v>
      </c>
      <c r="V55" s="649"/>
      <c r="W55" s="419">
        <f>ROUND(W16+W53,1)</f>
        <v>0</v>
      </c>
      <c r="X55" s="649"/>
      <c r="Y55" s="419">
        <f>ROUND(Y16+Y53,1)</f>
        <v>0</v>
      </c>
      <c r="Z55" s="419"/>
      <c r="AA55" s="420"/>
      <c r="AB55" s="419">
        <f>ROUND(AB16+AB53,1)</f>
        <v>25.7</v>
      </c>
      <c r="AC55" s="419"/>
      <c r="AD55" s="420"/>
      <c r="AE55" s="419">
        <f>ROUND(AE16+AE53,1)</f>
        <v>25.3</v>
      </c>
      <c r="AG55" s="1900"/>
      <c r="AH55" s="1933">
        <f>ROUND(SUM(AB55-AE55),1)</f>
        <v>0.4</v>
      </c>
      <c r="AI55" s="1931"/>
      <c r="AJ55" s="1934">
        <f>ROUND(IF(AH55=0,0,AH55/ABS(AE55)),3)</f>
        <v>1.6E-2</v>
      </c>
      <c r="AK55" s="650"/>
      <c r="AL55" s="650"/>
      <c r="AM55" s="650"/>
    </row>
    <row r="56" spans="1:39" ht="16.5" customHeight="1" thickTop="1">
      <c r="A56" s="414"/>
      <c r="B56" s="414"/>
      <c r="C56" s="665"/>
      <c r="D56" s="414"/>
      <c r="E56" s="665"/>
      <c r="F56" s="414"/>
      <c r="G56" s="665"/>
      <c r="H56" s="414"/>
      <c r="I56" s="430"/>
      <c r="J56" s="430"/>
      <c r="K56" s="665"/>
      <c r="L56" s="430"/>
      <c r="M56" s="665"/>
      <c r="N56" s="414"/>
      <c r="O56" s="665"/>
      <c r="P56" s="414"/>
      <c r="Q56" s="665"/>
      <c r="R56" s="414"/>
      <c r="S56" s="665"/>
      <c r="T56" s="414"/>
      <c r="U56" s="665"/>
      <c r="V56" s="414"/>
      <c r="W56" s="665"/>
      <c r="X56" s="414"/>
      <c r="Y56" s="665"/>
      <c r="Z56" s="414"/>
      <c r="AA56" s="414"/>
      <c r="AB56" s="665"/>
      <c r="AC56" s="414"/>
      <c r="AD56" s="414"/>
      <c r="AE56" s="665"/>
    </row>
    <row r="57" spans="1:39" ht="16.5" customHeight="1">
      <c r="A57" s="436"/>
    </row>
    <row r="58" spans="1:39" ht="16.5" customHeight="1">
      <c r="A58" s="436"/>
    </row>
    <row r="59" spans="1:39" ht="16.5" customHeight="1">
      <c r="A59" s="436"/>
    </row>
    <row r="60" spans="1:39" ht="16.5" customHeight="1">
      <c r="A60" s="436"/>
    </row>
    <row r="61" spans="1:39" ht="16.5" customHeight="1">
      <c r="A61" s="436"/>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1" firstPageNumber="34" orientation="landscape" useFirstPageNumber="1" r:id="rId2"/>
  <headerFooter scaleWithDoc="0" alignWithMargins="0">
    <oddFooter>&amp;C&amp;8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60" zoomScaleNormal="60" workbookViewId="0"/>
  </sheetViews>
  <sheetFormatPr defaultColWidth="8.88671875" defaultRowHeight="16.5" customHeight="1"/>
  <cols>
    <col min="1" max="1" width="48.44140625" style="398" customWidth="1"/>
    <col min="2" max="2" width="11" style="398" customWidth="1"/>
    <col min="3" max="3" width="1.6640625" style="398" customWidth="1"/>
    <col min="4" max="4" width="11" style="398" customWidth="1"/>
    <col min="5" max="5" width="1.6640625" style="398" customWidth="1"/>
    <col min="6" max="6" width="11.109375" style="398" customWidth="1"/>
    <col min="7" max="7" width="1.6640625" style="398" customWidth="1"/>
    <col min="8" max="8" width="11" style="398" customWidth="1"/>
    <col min="9" max="9" width="1.77734375" style="398" customWidth="1"/>
    <col min="10" max="10" width="9.77734375" style="398" customWidth="1"/>
    <col min="11" max="11" width="1.77734375" style="398" customWidth="1"/>
    <col min="12" max="12" width="13.33203125" style="398" customWidth="1"/>
    <col min="13" max="13" width="1.6640625" style="398" customWidth="1"/>
    <col min="14" max="14" width="11.109375" style="398" customWidth="1"/>
    <col min="15" max="15" width="1.6640625" style="398" customWidth="1"/>
    <col min="16" max="16" width="12.33203125" style="398" customWidth="1"/>
    <col min="17" max="17" width="1.6640625" style="398" customWidth="1"/>
    <col min="18" max="18" width="12" style="398" customWidth="1"/>
    <col min="19" max="19" width="1.6640625" style="398" customWidth="1"/>
    <col min="20" max="20" width="11.109375" style="398" customWidth="1"/>
    <col min="21" max="21" width="1.6640625" style="398" customWidth="1"/>
    <col min="22" max="22" width="11.77734375" style="398" customWidth="1"/>
    <col min="23" max="23" width="1.6640625" style="398" customWidth="1"/>
    <col min="24" max="24" width="11.109375" style="398" customWidth="1"/>
    <col min="25" max="26" width="1.6640625" style="398" customWidth="1"/>
    <col min="27" max="27" width="11.5546875" style="398" customWidth="1"/>
    <col min="28" max="29" width="1.6640625" style="398" customWidth="1"/>
    <col min="30" max="30" width="11.5546875" style="398" customWidth="1"/>
    <col min="31" max="31" width="1.77734375" style="689" customWidth="1"/>
    <col min="32" max="32" width="2.44140625" style="1906" customWidth="1"/>
    <col min="33" max="33" width="10.33203125" style="1907" bestFit="1" customWidth="1"/>
    <col min="34" max="34" width="1.6640625" style="1907" customWidth="1"/>
    <col min="35" max="35" width="11.109375" style="1906" customWidth="1"/>
    <col min="36" max="16384" width="8.88671875" style="398"/>
  </cols>
  <sheetData>
    <row r="1" spans="1:251" ht="16.5" customHeight="1">
      <c r="A1" s="1052" t="s">
        <v>1064</v>
      </c>
    </row>
    <row r="2" spans="1:251" ht="16.5" customHeight="1">
      <c r="A2" s="1454"/>
    </row>
    <row r="3" spans="1:251" ht="20.25" customHeight="1">
      <c r="A3" s="1689" t="s">
        <v>0</v>
      </c>
      <c r="B3" s="601"/>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218"/>
      <c r="AI3" s="1955" t="s">
        <v>226</v>
      </c>
      <c r="AJ3" s="666"/>
      <c r="AK3" s="666"/>
      <c r="AL3" s="666"/>
      <c r="AM3" s="666"/>
      <c r="AN3" s="666"/>
      <c r="AO3" s="666"/>
      <c r="AP3" s="666"/>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6"/>
      <c r="CC3" s="666"/>
      <c r="CD3" s="666"/>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6"/>
      <c r="ED3" s="666"/>
      <c r="EE3" s="666"/>
      <c r="EF3" s="666"/>
      <c r="EG3" s="666"/>
      <c r="EH3" s="666"/>
      <c r="EI3" s="666"/>
      <c r="EJ3" s="666"/>
      <c r="EK3" s="666"/>
      <c r="EL3" s="666"/>
      <c r="EM3" s="666"/>
      <c r="EN3" s="666"/>
      <c r="EO3" s="666"/>
      <c r="EP3" s="666"/>
      <c r="EQ3" s="666"/>
      <c r="ER3" s="666"/>
      <c r="ES3" s="666"/>
      <c r="ET3" s="666"/>
      <c r="EU3" s="666"/>
      <c r="EV3" s="666"/>
      <c r="EW3" s="666"/>
      <c r="EX3" s="666"/>
      <c r="EY3" s="666"/>
      <c r="EZ3" s="666"/>
      <c r="FA3" s="666"/>
      <c r="FB3" s="666"/>
      <c r="FC3" s="666"/>
      <c r="FD3" s="666"/>
      <c r="FE3" s="666"/>
      <c r="FF3" s="666"/>
      <c r="FG3" s="666"/>
      <c r="FH3" s="666"/>
      <c r="FI3" s="666"/>
      <c r="FJ3" s="666"/>
      <c r="FK3" s="666"/>
      <c r="FL3" s="666"/>
      <c r="FM3" s="666"/>
      <c r="FN3" s="666"/>
      <c r="FO3" s="666"/>
      <c r="FP3" s="666"/>
      <c r="FQ3" s="666"/>
      <c r="FR3" s="666"/>
      <c r="FS3" s="666"/>
      <c r="FT3" s="666"/>
      <c r="FU3" s="666"/>
      <c r="FV3" s="666"/>
      <c r="FW3" s="666"/>
      <c r="FX3" s="666"/>
      <c r="FY3" s="666"/>
      <c r="FZ3" s="666"/>
      <c r="GA3" s="666"/>
      <c r="GB3" s="666"/>
      <c r="GC3" s="666"/>
      <c r="GD3" s="666"/>
      <c r="GE3" s="666"/>
      <c r="GF3" s="666"/>
      <c r="GG3" s="666"/>
      <c r="GH3" s="666"/>
      <c r="GI3" s="666"/>
      <c r="GJ3" s="666"/>
      <c r="GK3" s="666"/>
      <c r="GL3" s="666"/>
      <c r="GM3" s="666"/>
      <c r="GN3" s="666"/>
      <c r="GO3" s="666"/>
      <c r="GP3" s="666"/>
      <c r="GQ3" s="666"/>
      <c r="GR3" s="666"/>
      <c r="GS3" s="666"/>
      <c r="GT3" s="666"/>
      <c r="GU3" s="666"/>
      <c r="GV3" s="666"/>
      <c r="GW3" s="666"/>
      <c r="GX3" s="666"/>
      <c r="GY3" s="666"/>
      <c r="GZ3" s="666"/>
      <c r="HA3" s="666"/>
      <c r="HB3" s="666"/>
      <c r="HC3" s="666"/>
      <c r="HD3" s="666"/>
      <c r="HE3" s="666"/>
      <c r="HF3" s="666"/>
      <c r="HG3" s="666"/>
      <c r="HH3" s="666"/>
      <c r="HI3" s="666"/>
      <c r="HJ3" s="666"/>
      <c r="HK3" s="666"/>
      <c r="HL3" s="666"/>
      <c r="HM3" s="666"/>
      <c r="HN3" s="666"/>
      <c r="HO3" s="666"/>
      <c r="HP3" s="666"/>
      <c r="HQ3" s="666"/>
      <c r="HR3" s="666"/>
      <c r="HS3" s="666"/>
      <c r="HT3" s="666"/>
      <c r="HU3" s="666"/>
      <c r="HV3" s="666"/>
      <c r="HW3" s="666"/>
      <c r="HX3" s="666"/>
      <c r="HY3" s="666"/>
      <c r="HZ3" s="666"/>
      <c r="IA3" s="666"/>
      <c r="IB3" s="666"/>
      <c r="IC3" s="666"/>
      <c r="ID3" s="666"/>
      <c r="IE3" s="666"/>
      <c r="IF3" s="666"/>
      <c r="IG3" s="666"/>
      <c r="IH3" s="666"/>
      <c r="II3" s="666"/>
      <c r="IJ3" s="666"/>
      <c r="IK3" s="666"/>
      <c r="IL3" s="666"/>
      <c r="IM3" s="666"/>
      <c r="IN3" s="666"/>
      <c r="IO3" s="666"/>
      <c r="IP3" s="666"/>
      <c r="IQ3" s="666"/>
    </row>
    <row r="4" spans="1:251" ht="22.5" customHeight="1">
      <c r="A4" s="1689" t="s">
        <v>224</v>
      </c>
      <c r="B4" s="601"/>
      <c r="C4" s="666"/>
      <c r="D4" s="666"/>
      <c r="E4" s="666"/>
      <c r="F4" s="666"/>
      <c r="G4" s="666"/>
      <c r="H4" s="601" t="s">
        <v>15</v>
      </c>
      <c r="I4" s="666"/>
      <c r="J4" s="666"/>
      <c r="K4" s="666"/>
      <c r="L4" s="666"/>
      <c r="M4" s="666"/>
      <c r="N4" s="666"/>
      <c r="O4" s="666"/>
      <c r="P4" s="666"/>
      <c r="Q4" s="666"/>
      <c r="R4" s="666"/>
      <c r="S4" s="666"/>
      <c r="T4" s="666"/>
      <c r="U4" s="666"/>
      <c r="V4" s="666"/>
      <c r="W4" s="666"/>
      <c r="X4" s="666" t="s">
        <v>15</v>
      </c>
      <c r="Y4" s="666"/>
      <c r="Z4" s="666"/>
      <c r="AA4" s="666"/>
      <c r="AB4" s="666"/>
      <c r="AC4" s="666"/>
      <c r="AD4" s="666"/>
      <c r="AE4" s="218"/>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666"/>
      <c r="BO4" s="666"/>
      <c r="BP4" s="666"/>
      <c r="BQ4" s="666"/>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6"/>
      <c r="ED4" s="666"/>
      <c r="EE4" s="666"/>
      <c r="EF4" s="666"/>
      <c r="EG4" s="666"/>
      <c r="EH4" s="666"/>
      <c r="EI4" s="666"/>
      <c r="EJ4" s="666"/>
      <c r="EK4" s="666"/>
      <c r="EL4" s="666"/>
      <c r="EM4" s="666"/>
      <c r="EN4" s="666"/>
      <c r="EO4" s="666"/>
      <c r="EP4" s="666"/>
      <c r="EQ4" s="666"/>
      <c r="ER4" s="666"/>
      <c r="ES4" s="666"/>
      <c r="ET4" s="666"/>
      <c r="EU4" s="666"/>
      <c r="EV4" s="666"/>
      <c r="EW4" s="666"/>
      <c r="EX4" s="666"/>
      <c r="EY4" s="666"/>
      <c r="EZ4" s="666"/>
      <c r="FA4" s="666"/>
      <c r="FB4" s="666"/>
      <c r="FC4" s="666"/>
      <c r="FD4" s="666"/>
      <c r="FE4" s="666"/>
      <c r="FF4" s="666"/>
      <c r="FG4" s="666"/>
      <c r="FH4" s="666"/>
      <c r="FI4" s="666"/>
      <c r="FJ4" s="666"/>
      <c r="FK4" s="666"/>
      <c r="FL4" s="666"/>
      <c r="FM4" s="666"/>
      <c r="FN4" s="666"/>
      <c r="FO4" s="666"/>
      <c r="FP4" s="666"/>
      <c r="FQ4" s="666"/>
      <c r="FR4" s="666"/>
      <c r="FS4" s="666"/>
      <c r="FT4" s="666"/>
      <c r="FU4" s="666"/>
      <c r="FV4" s="666"/>
      <c r="FW4" s="666"/>
      <c r="FX4" s="666"/>
      <c r="FY4" s="666"/>
      <c r="FZ4" s="666"/>
      <c r="GA4" s="666"/>
      <c r="GB4" s="666"/>
      <c r="GC4" s="666"/>
      <c r="GD4" s="666"/>
      <c r="GE4" s="666"/>
      <c r="GF4" s="666"/>
      <c r="GG4" s="666"/>
      <c r="GH4" s="666"/>
      <c r="GI4" s="666"/>
      <c r="GJ4" s="666"/>
      <c r="GK4" s="666"/>
      <c r="GL4" s="666"/>
      <c r="GM4" s="666"/>
      <c r="GN4" s="666"/>
      <c r="GO4" s="666"/>
      <c r="GP4" s="666"/>
      <c r="GQ4" s="666"/>
      <c r="GR4" s="666"/>
      <c r="GS4" s="666"/>
      <c r="GT4" s="666"/>
      <c r="GU4" s="666"/>
      <c r="GV4" s="666"/>
      <c r="GW4" s="666"/>
      <c r="GX4" s="666"/>
      <c r="GY4" s="666"/>
      <c r="GZ4" s="666"/>
      <c r="HA4" s="666"/>
      <c r="HB4" s="666"/>
      <c r="HC4" s="666"/>
      <c r="HD4" s="666"/>
      <c r="HE4" s="666"/>
      <c r="HF4" s="666"/>
      <c r="HG4" s="666"/>
      <c r="HH4" s="666"/>
      <c r="HI4" s="666"/>
      <c r="HJ4" s="666"/>
      <c r="HK4" s="666"/>
      <c r="HL4" s="666"/>
      <c r="HM4" s="666"/>
      <c r="HN4" s="666"/>
      <c r="HO4" s="666"/>
      <c r="HP4" s="666"/>
      <c r="HQ4" s="666"/>
      <c r="HR4" s="666"/>
      <c r="HS4" s="666"/>
      <c r="HT4" s="666"/>
      <c r="HU4" s="666"/>
      <c r="HV4" s="666"/>
      <c r="HW4" s="666"/>
      <c r="HX4" s="666"/>
      <c r="HY4" s="666"/>
      <c r="HZ4" s="666"/>
      <c r="IA4" s="666"/>
      <c r="IB4" s="666"/>
      <c r="IC4" s="666"/>
      <c r="ID4" s="666"/>
      <c r="IE4" s="666"/>
      <c r="IF4" s="666"/>
      <c r="IG4" s="666"/>
      <c r="IH4" s="666"/>
      <c r="II4" s="666"/>
      <c r="IJ4" s="666"/>
      <c r="IK4" s="666"/>
      <c r="IL4" s="666"/>
      <c r="IM4" s="666"/>
      <c r="IN4" s="666"/>
      <c r="IO4" s="666"/>
      <c r="IP4" s="666"/>
      <c r="IQ4" s="666"/>
    </row>
    <row r="5" spans="1:251" ht="20.25" customHeight="1">
      <c r="A5" s="1689" t="s">
        <v>225</v>
      </c>
      <c r="B5" s="601"/>
      <c r="C5" s="666"/>
      <c r="D5" s="666"/>
      <c r="E5" s="666"/>
      <c r="F5" s="666"/>
      <c r="G5" s="666"/>
      <c r="H5" s="666"/>
      <c r="I5" s="666"/>
      <c r="J5" s="666"/>
      <c r="K5" s="666"/>
      <c r="L5" s="666"/>
      <c r="M5" s="666"/>
      <c r="N5" s="666"/>
      <c r="O5" s="666"/>
      <c r="P5" s="666"/>
      <c r="Q5" s="666"/>
      <c r="R5" s="666"/>
      <c r="S5" s="666"/>
      <c r="T5" s="666"/>
      <c r="U5" s="666"/>
      <c r="V5" s="666"/>
      <c r="W5" s="666"/>
      <c r="X5" s="666"/>
      <c r="Y5" s="666"/>
      <c r="Z5" s="666"/>
      <c r="AB5" s="1680"/>
      <c r="AC5" s="1680"/>
      <c r="AD5" s="1680"/>
      <c r="AE5" s="1462"/>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6"/>
      <c r="BZ5" s="666"/>
      <c r="CA5" s="666"/>
      <c r="CB5" s="666"/>
      <c r="CC5" s="666"/>
      <c r="CD5" s="666"/>
      <c r="CE5" s="666"/>
      <c r="CF5" s="666"/>
      <c r="CG5" s="666"/>
      <c r="CH5" s="666"/>
      <c r="CI5" s="666"/>
      <c r="CJ5" s="666"/>
      <c r="CK5" s="666"/>
      <c r="CL5" s="666"/>
      <c r="CM5" s="666"/>
      <c r="CN5" s="666"/>
      <c r="CO5" s="666"/>
      <c r="CP5" s="666"/>
      <c r="CQ5" s="666"/>
      <c r="CR5" s="666"/>
      <c r="CS5" s="666"/>
      <c r="CT5" s="666"/>
      <c r="CU5" s="666"/>
      <c r="CV5" s="666"/>
      <c r="CW5" s="666"/>
      <c r="CX5" s="666"/>
      <c r="CY5" s="666"/>
      <c r="CZ5" s="666"/>
      <c r="DA5" s="666"/>
      <c r="DB5" s="666"/>
      <c r="DC5" s="666"/>
      <c r="DD5" s="666"/>
      <c r="DE5" s="666"/>
      <c r="DF5" s="666"/>
      <c r="DG5" s="666"/>
      <c r="DH5" s="666"/>
      <c r="DI5" s="666"/>
      <c r="DJ5" s="666"/>
      <c r="DK5" s="666"/>
      <c r="DL5" s="666"/>
      <c r="DM5" s="666"/>
      <c r="DN5" s="666"/>
      <c r="DO5" s="666"/>
      <c r="DP5" s="666"/>
      <c r="DQ5" s="666"/>
      <c r="DR5" s="666"/>
      <c r="DS5" s="666"/>
      <c r="DT5" s="666"/>
      <c r="DU5" s="666"/>
      <c r="DV5" s="666"/>
      <c r="DW5" s="666"/>
      <c r="DX5" s="666"/>
      <c r="DY5" s="666"/>
      <c r="DZ5" s="666"/>
      <c r="EA5" s="666"/>
      <c r="EB5" s="666"/>
      <c r="EC5" s="666"/>
      <c r="ED5" s="666"/>
      <c r="EE5" s="666"/>
      <c r="EF5" s="666"/>
      <c r="EG5" s="666"/>
      <c r="EH5" s="666"/>
      <c r="EI5" s="666"/>
      <c r="EJ5" s="666"/>
      <c r="EK5" s="666"/>
      <c r="EL5" s="666"/>
      <c r="EM5" s="666"/>
      <c r="EN5" s="666"/>
      <c r="EO5" s="666"/>
      <c r="EP5" s="666"/>
      <c r="EQ5" s="666"/>
      <c r="ER5" s="666"/>
      <c r="ES5" s="666"/>
      <c r="ET5" s="666"/>
      <c r="EU5" s="666"/>
      <c r="EV5" s="666"/>
      <c r="EW5" s="666"/>
      <c r="EX5" s="666"/>
      <c r="EY5" s="666"/>
      <c r="EZ5" s="666"/>
      <c r="FA5" s="666"/>
      <c r="FB5" s="666"/>
      <c r="FC5" s="666"/>
      <c r="FD5" s="666"/>
      <c r="FE5" s="666"/>
      <c r="FF5" s="666"/>
      <c r="FG5" s="666"/>
      <c r="FH5" s="666"/>
      <c r="FI5" s="666"/>
      <c r="FJ5" s="666"/>
      <c r="FK5" s="666"/>
      <c r="FL5" s="666"/>
      <c r="FM5" s="666"/>
      <c r="FN5" s="666"/>
      <c r="FO5" s="666"/>
      <c r="FP5" s="666"/>
      <c r="FQ5" s="666"/>
      <c r="FR5" s="666"/>
      <c r="FS5" s="666"/>
      <c r="FT5" s="666"/>
      <c r="FU5" s="666"/>
      <c r="FV5" s="666"/>
      <c r="FW5" s="666"/>
      <c r="FX5" s="666"/>
      <c r="FY5" s="666"/>
      <c r="FZ5" s="666"/>
      <c r="GA5" s="666"/>
      <c r="GB5" s="666"/>
      <c r="GC5" s="666"/>
      <c r="GD5" s="666"/>
      <c r="GE5" s="666"/>
      <c r="GF5" s="666"/>
      <c r="GG5" s="666"/>
      <c r="GH5" s="666"/>
      <c r="GI5" s="666"/>
      <c r="GJ5" s="666"/>
      <c r="GK5" s="666"/>
      <c r="GL5" s="666"/>
      <c r="GM5" s="666"/>
      <c r="GN5" s="666"/>
      <c r="GO5" s="666"/>
      <c r="GP5" s="666"/>
      <c r="GQ5" s="666"/>
      <c r="GR5" s="666"/>
      <c r="GS5" s="666"/>
      <c r="GT5" s="666"/>
      <c r="GU5" s="666"/>
      <c r="GV5" s="666"/>
      <c r="GW5" s="666"/>
      <c r="GX5" s="666"/>
      <c r="GY5" s="666"/>
      <c r="GZ5" s="666"/>
      <c r="HA5" s="666"/>
      <c r="HB5" s="666"/>
      <c r="HC5" s="666"/>
      <c r="HD5" s="666"/>
      <c r="HE5" s="666"/>
      <c r="HF5" s="666"/>
      <c r="HG5" s="666"/>
      <c r="HH5" s="666"/>
      <c r="HI5" s="666"/>
      <c r="HJ5" s="666"/>
      <c r="HK5" s="666"/>
      <c r="HL5" s="666"/>
      <c r="HM5" s="666"/>
      <c r="HN5" s="666"/>
      <c r="HO5" s="666"/>
      <c r="HP5" s="666"/>
      <c r="HQ5" s="666"/>
      <c r="HR5" s="666"/>
      <c r="HS5" s="666"/>
      <c r="HT5" s="666"/>
      <c r="HU5" s="666"/>
      <c r="HV5" s="666"/>
      <c r="HW5" s="666"/>
      <c r="HX5" s="666"/>
      <c r="HY5" s="666"/>
      <c r="HZ5" s="666"/>
      <c r="IA5" s="666"/>
      <c r="IB5" s="666"/>
      <c r="IC5" s="666"/>
      <c r="ID5" s="666"/>
      <c r="IE5" s="666"/>
      <c r="IF5" s="666"/>
      <c r="IG5" s="666"/>
      <c r="IH5" s="666"/>
      <c r="II5" s="666"/>
      <c r="IJ5" s="666"/>
      <c r="IK5" s="666"/>
      <c r="IL5" s="666"/>
      <c r="IM5" s="666"/>
      <c r="IN5" s="666"/>
      <c r="IO5" s="666"/>
      <c r="IP5" s="666"/>
      <c r="IQ5" s="666"/>
    </row>
    <row r="6" spans="1:251" ht="20.25" customHeight="1">
      <c r="A6" s="1690" t="str">
        <f>'Cashflow Governmental'!A6</f>
        <v>FISCAL YEAR 2018-2019</v>
      </c>
      <c r="B6" s="601"/>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218"/>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6"/>
      <c r="BZ6" s="666"/>
      <c r="CA6" s="666"/>
      <c r="CB6" s="666"/>
      <c r="CC6" s="666"/>
      <c r="CD6" s="666"/>
      <c r="CE6" s="666"/>
      <c r="CF6" s="666"/>
      <c r="CG6" s="666"/>
      <c r="CH6" s="666"/>
      <c r="CI6" s="666"/>
      <c r="CJ6" s="666"/>
      <c r="CK6" s="666"/>
      <c r="CL6" s="666"/>
      <c r="CM6" s="666"/>
      <c r="CN6" s="666"/>
      <c r="CO6" s="666"/>
      <c r="CP6" s="666"/>
      <c r="CQ6" s="666"/>
      <c r="CR6" s="666"/>
      <c r="CS6" s="666"/>
      <c r="CT6" s="666"/>
      <c r="CU6" s="666"/>
      <c r="CV6" s="666"/>
      <c r="CW6" s="666"/>
      <c r="CX6" s="666"/>
      <c r="CY6" s="666"/>
      <c r="CZ6" s="666"/>
      <c r="DA6" s="666"/>
      <c r="DB6" s="666"/>
      <c r="DC6" s="666"/>
      <c r="DD6" s="666"/>
      <c r="DE6" s="666"/>
      <c r="DF6" s="666"/>
      <c r="DG6" s="666"/>
      <c r="DH6" s="666"/>
      <c r="DI6" s="666"/>
      <c r="DJ6" s="666"/>
      <c r="DK6" s="666"/>
      <c r="DL6" s="666"/>
      <c r="DM6" s="666"/>
      <c r="DN6" s="666"/>
      <c r="DO6" s="666"/>
      <c r="DP6" s="666"/>
      <c r="DQ6" s="666"/>
      <c r="DR6" s="666"/>
      <c r="DS6" s="666"/>
      <c r="DT6" s="666"/>
      <c r="DU6" s="666"/>
      <c r="DV6" s="666"/>
      <c r="DW6" s="666"/>
      <c r="DX6" s="666"/>
      <c r="DY6" s="666"/>
      <c r="DZ6" s="666"/>
      <c r="EA6" s="666"/>
      <c r="EB6" s="666"/>
      <c r="EC6" s="666"/>
      <c r="ED6" s="666"/>
      <c r="EE6" s="666"/>
      <c r="EF6" s="666"/>
      <c r="EG6" s="666"/>
      <c r="EH6" s="666"/>
      <c r="EI6" s="666"/>
      <c r="EJ6" s="666"/>
      <c r="EK6" s="666"/>
      <c r="EL6" s="666"/>
      <c r="EM6" s="666"/>
      <c r="EN6" s="666"/>
      <c r="EO6" s="666"/>
      <c r="EP6" s="666"/>
      <c r="EQ6" s="666"/>
      <c r="ER6" s="666"/>
      <c r="ES6" s="666"/>
      <c r="ET6" s="666"/>
      <c r="EU6" s="666"/>
      <c r="EV6" s="666"/>
      <c r="EW6" s="666"/>
      <c r="EX6" s="666"/>
      <c r="EY6" s="666"/>
      <c r="EZ6" s="666"/>
      <c r="FA6" s="666"/>
      <c r="FB6" s="666"/>
      <c r="FC6" s="666"/>
      <c r="FD6" s="666"/>
      <c r="FE6" s="666"/>
      <c r="FF6" s="666"/>
      <c r="FG6" s="666"/>
      <c r="FH6" s="666"/>
      <c r="FI6" s="666"/>
      <c r="FJ6" s="666"/>
      <c r="FK6" s="666"/>
      <c r="FL6" s="666"/>
      <c r="FM6" s="666"/>
      <c r="FN6" s="666"/>
      <c r="FO6" s="666"/>
      <c r="FP6" s="666"/>
      <c r="FQ6" s="666"/>
      <c r="FR6" s="666"/>
      <c r="FS6" s="666"/>
      <c r="FT6" s="666"/>
      <c r="FU6" s="666"/>
      <c r="FV6" s="666"/>
      <c r="FW6" s="666"/>
      <c r="FX6" s="666"/>
      <c r="FY6" s="666"/>
      <c r="FZ6" s="666"/>
      <c r="GA6" s="666"/>
      <c r="GB6" s="666"/>
      <c r="GC6" s="666"/>
      <c r="GD6" s="666"/>
      <c r="GE6" s="666"/>
      <c r="GF6" s="666"/>
      <c r="GG6" s="666"/>
      <c r="GH6" s="666"/>
      <c r="GI6" s="666"/>
      <c r="GJ6" s="666"/>
      <c r="GK6" s="666"/>
      <c r="GL6" s="666"/>
      <c r="GM6" s="666"/>
      <c r="GN6" s="666"/>
      <c r="GO6" s="666"/>
      <c r="GP6" s="666"/>
      <c r="GQ6" s="666"/>
      <c r="GR6" s="666"/>
      <c r="GS6" s="666"/>
      <c r="GT6" s="666"/>
      <c r="GU6" s="666"/>
      <c r="GV6" s="666"/>
      <c r="GW6" s="666"/>
      <c r="GX6" s="666"/>
      <c r="GY6" s="666"/>
      <c r="GZ6" s="666"/>
      <c r="HA6" s="666"/>
      <c r="HB6" s="666"/>
      <c r="HC6" s="666"/>
      <c r="HD6" s="666"/>
      <c r="HE6" s="666"/>
      <c r="HF6" s="666"/>
      <c r="HG6" s="666"/>
      <c r="HH6" s="666"/>
      <c r="HI6" s="666"/>
      <c r="HJ6" s="666"/>
      <c r="HK6" s="666"/>
      <c r="HL6" s="666"/>
      <c r="HM6" s="666"/>
      <c r="HN6" s="666"/>
      <c r="HO6" s="666"/>
      <c r="HP6" s="666"/>
      <c r="HQ6" s="666"/>
      <c r="HR6" s="666"/>
      <c r="HS6" s="666"/>
      <c r="HT6" s="666"/>
      <c r="HU6" s="666"/>
      <c r="HV6" s="666"/>
      <c r="HW6" s="666"/>
      <c r="HX6" s="666"/>
      <c r="HY6" s="666"/>
      <c r="HZ6" s="666"/>
      <c r="IA6" s="666"/>
      <c r="IB6" s="666"/>
      <c r="IC6" s="666"/>
      <c r="ID6" s="666"/>
      <c r="IE6" s="666"/>
      <c r="IF6" s="666"/>
      <c r="IG6" s="666"/>
      <c r="IH6" s="666"/>
      <c r="II6" s="666"/>
      <c r="IJ6" s="666"/>
      <c r="IK6" s="666"/>
      <c r="IL6" s="666"/>
      <c r="IM6" s="666"/>
      <c r="IN6" s="666"/>
      <c r="IO6" s="666"/>
      <c r="IP6" s="666"/>
      <c r="IQ6" s="666"/>
    </row>
    <row r="7" spans="1:251" ht="20.25" customHeight="1">
      <c r="A7" s="1689" t="s">
        <v>957</v>
      </c>
      <c r="B7" s="601"/>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218"/>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c r="DD7" s="666"/>
      <c r="DE7" s="666"/>
      <c r="DF7" s="666"/>
      <c r="DG7" s="666"/>
      <c r="DH7" s="666"/>
      <c r="DI7" s="666"/>
      <c r="DJ7" s="666"/>
      <c r="DK7" s="666"/>
      <c r="DL7" s="666"/>
      <c r="DM7" s="666"/>
      <c r="DN7" s="666"/>
      <c r="DO7" s="666"/>
      <c r="DP7" s="666"/>
      <c r="DQ7" s="666"/>
      <c r="DR7" s="666"/>
      <c r="DS7" s="666"/>
      <c r="DT7" s="666"/>
      <c r="DU7" s="666"/>
      <c r="DV7" s="666"/>
      <c r="DW7" s="666"/>
      <c r="DX7" s="666"/>
      <c r="DY7" s="666"/>
      <c r="DZ7" s="666"/>
      <c r="EA7" s="666"/>
      <c r="EB7" s="666"/>
      <c r="EC7" s="666"/>
      <c r="ED7" s="666"/>
      <c r="EE7" s="666"/>
      <c r="EF7" s="666"/>
      <c r="EG7" s="666"/>
      <c r="EH7" s="666"/>
      <c r="EI7" s="666"/>
      <c r="EJ7" s="666"/>
      <c r="EK7" s="666"/>
      <c r="EL7" s="666"/>
      <c r="EM7" s="666"/>
      <c r="EN7" s="666"/>
      <c r="EO7" s="666"/>
      <c r="EP7" s="666"/>
      <c r="EQ7" s="666"/>
      <c r="ER7" s="666"/>
      <c r="ES7" s="666"/>
      <c r="ET7" s="666"/>
      <c r="EU7" s="666"/>
      <c r="EV7" s="666"/>
      <c r="EW7" s="666"/>
      <c r="EX7" s="666"/>
      <c r="EY7" s="666"/>
      <c r="EZ7" s="666"/>
      <c r="FA7" s="666"/>
      <c r="FB7" s="666"/>
      <c r="FC7" s="666"/>
      <c r="FD7" s="666"/>
      <c r="FE7" s="666"/>
      <c r="FF7" s="666"/>
      <c r="FG7" s="666"/>
      <c r="FH7" s="666"/>
      <c r="FI7" s="666"/>
      <c r="FJ7" s="666"/>
      <c r="FK7" s="666"/>
      <c r="FL7" s="666"/>
      <c r="FM7" s="666"/>
      <c r="FN7" s="666"/>
      <c r="FO7" s="666"/>
      <c r="FP7" s="666"/>
      <c r="FQ7" s="666"/>
      <c r="FR7" s="666"/>
      <c r="FS7" s="666"/>
      <c r="FT7" s="666"/>
      <c r="FU7" s="666"/>
      <c r="FV7" s="666"/>
      <c r="FW7" s="666"/>
      <c r="FX7" s="666"/>
      <c r="FY7" s="666"/>
      <c r="FZ7" s="666"/>
      <c r="GA7" s="666"/>
      <c r="GB7" s="666"/>
      <c r="GC7" s="666"/>
      <c r="GD7" s="666"/>
      <c r="GE7" s="666"/>
      <c r="GF7" s="666"/>
      <c r="GG7" s="666"/>
      <c r="GH7" s="666"/>
      <c r="GI7" s="666"/>
      <c r="GJ7" s="666"/>
      <c r="GK7" s="666"/>
      <c r="GL7" s="666"/>
      <c r="GM7" s="666"/>
      <c r="GN7" s="666"/>
      <c r="GO7" s="666"/>
      <c r="GP7" s="666"/>
      <c r="GQ7" s="666"/>
      <c r="GR7" s="666"/>
      <c r="GS7" s="666"/>
      <c r="GT7" s="666"/>
      <c r="GU7" s="666"/>
      <c r="GV7" s="666"/>
      <c r="GW7" s="666"/>
      <c r="GX7" s="666"/>
      <c r="GY7" s="666"/>
      <c r="GZ7" s="666"/>
      <c r="HA7" s="666"/>
      <c r="HB7" s="666"/>
      <c r="HC7" s="666"/>
      <c r="HD7" s="666"/>
      <c r="HE7" s="666"/>
      <c r="HF7" s="666"/>
      <c r="HG7" s="666"/>
      <c r="HH7" s="666"/>
      <c r="HI7" s="666"/>
      <c r="HJ7" s="666"/>
      <c r="HK7" s="666"/>
      <c r="HL7" s="666"/>
      <c r="HM7" s="666"/>
      <c r="HN7" s="666"/>
      <c r="HO7" s="666"/>
      <c r="HP7" s="666"/>
      <c r="HQ7" s="666"/>
      <c r="HR7" s="666"/>
      <c r="HS7" s="666"/>
      <c r="HT7" s="666"/>
      <c r="HU7" s="666"/>
      <c r="HV7" s="666"/>
      <c r="HW7" s="666"/>
      <c r="HX7" s="666"/>
      <c r="HY7" s="666"/>
      <c r="HZ7" s="666"/>
      <c r="IA7" s="666"/>
      <c r="IB7" s="666"/>
      <c r="IC7" s="666"/>
      <c r="ID7" s="666"/>
      <c r="IE7" s="666"/>
      <c r="IF7" s="666"/>
      <c r="IG7" s="666"/>
      <c r="IH7" s="666"/>
      <c r="II7" s="666"/>
      <c r="IJ7" s="666"/>
      <c r="IK7" s="666"/>
      <c r="IL7" s="666"/>
      <c r="IM7" s="666"/>
      <c r="IN7" s="666"/>
      <c r="IO7" s="666"/>
      <c r="IP7" s="666"/>
      <c r="IQ7" s="666"/>
    </row>
    <row r="8" spans="1:251" ht="16.5" customHeight="1">
      <c r="L8" s="3462"/>
      <c r="AE8" s="218"/>
    </row>
    <row r="9" spans="1:251" ht="16.5" customHeight="1">
      <c r="A9" s="667"/>
      <c r="B9" s="408"/>
      <c r="C9" s="408"/>
      <c r="D9" s="408"/>
      <c r="E9" s="408"/>
      <c r="F9" s="408"/>
      <c r="G9" s="408"/>
      <c r="H9" s="478"/>
      <c r="I9" s="478"/>
      <c r="J9" s="478"/>
      <c r="K9" s="408"/>
      <c r="L9" s="408"/>
      <c r="M9" s="408"/>
      <c r="N9" s="408"/>
      <c r="O9" s="408"/>
      <c r="P9" s="408"/>
      <c r="Q9" s="408"/>
      <c r="R9" s="408"/>
      <c r="S9" s="408"/>
      <c r="T9" s="408"/>
      <c r="U9" s="408"/>
      <c r="V9" s="408"/>
      <c r="W9" s="408"/>
      <c r="X9" s="408"/>
      <c r="Y9" s="408"/>
      <c r="Z9" s="408"/>
      <c r="AA9" s="408"/>
      <c r="AB9" s="408"/>
      <c r="AC9" s="408"/>
      <c r="AD9" s="408"/>
      <c r="AE9" s="398"/>
      <c r="AF9" s="1908"/>
      <c r="AG9" s="1908"/>
      <c r="AH9" s="1908"/>
      <c r="AI9" s="1908"/>
    </row>
    <row r="10" spans="1:251" ht="16.5" customHeight="1">
      <c r="A10" s="437"/>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1332"/>
      <c r="AA10" s="3760" t="s">
        <v>1466</v>
      </c>
      <c r="AB10" s="3761"/>
      <c r="AC10" s="3761"/>
      <c r="AD10" s="3761"/>
      <c r="AE10" s="3761"/>
      <c r="AF10" s="3761"/>
      <c r="AG10" s="3761"/>
      <c r="AH10" s="3761"/>
      <c r="AI10" s="3761"/>
    </row>
    <row r="11" spans="1:251" ht="16.5" customHeight="1">
      <c r="A11" s="437"/>
      <c r="B11" s="1331" t="str">
        <f>'Cashflow Governmental'!C13</f>
        <v>2018</v>
      </c>
      <c r="C11" s="443"/>
      <c r="D11" s="443"/>
      <c r="E11" s="443"/>
      <c r="F11" s="443"/>
      <c r="G11" s="443"/>
      <c r="H11" s="443"/>
      <c r="I11" s="443"/>
      <c r="J11" s="443"/>
      <c r="K11" s="443"/>
      <c r="L11" s="443"/>
      <c r="M11" s="443"/>
      <c r="N11" s="443"/>
      <c r="O11" s="443"/>
      <c r="P11" s="443"/>
      <c r="Q11" s="443"/>
      <c r="R11" s="443"/>
      <c r="S11" s="443"/>
      <c r="T11" s="1331" t="str">
        <f>'Cashflow Governmental'!U13</f>
        <v>2019</v>
      </c>
      <c r="U11" s="443"/>
      <c r="V11" s="443"/>
      <c r="W11" s="443"/>
      <c r="X11" s="443"/>
      <c r="Y11" s="443"/>
      <c r="Z11" s="1332"/>
      <c r="AA11" s="1332"/>
      <c r="AB11" s="1332"/>
      <c r="AC11" s="1332"/>
      <c r="AD11" s="1332"/>
      <c r="AE11" s="1686"/>
      <c r="AF11" s="1896"/>
      <c r="AG11" s="1910" t="s">
        <v>8</v>
      </c>
      <c r="AH11" s="1910"/>
      <c r="AI11" s="1911" t="s">
        <v>9</v>
      </c>
    </row>
    <row r="12" spans="1:251" ht="16.5" customHeight="1">
      <c r="A12" s="437"/>
      <c r="B12" s="1333" t="s">
        <v>126</v>
      </c>
      <c r="C12" s="443"/>
      <c r="D12" s="1333" t="s">
        <v>127</v>
      </c>
      <c r="E12" s="443"/>
      <c r="F12" s="1333" t="s">
        <v>128</v>
      </c>
      <c r="G12" s="443"/>
      <c r="H12" s="1333" t="s">
        <v>129</v>
      </c>
      <c r="I12" s="443"/>
      <c r="J12" s="1333" t="s">
        <v>130</v>
      </c>
      <c r="K12" s="443"/>
      <c r="L12" s="1331" t="s">
        <v>145</v>
      </c>
      <c r="M12" s="443"/>
      <c r="N12" s="1331" t="s">
        <v>146</v>
      </c>
      <c r="O12" s="443"/>
      <c r="P12" s="1333" t="s">
        <v>133</v>
      </c>
      <c r="Q12" s="443"/>
      <c r="R12" s="1333" t="s">
        <v>134</v>
      </c>
      <c r="S12" s="443"/>
      <c r="T12" s="1333" t="s">
        <v>135</v>
      </c>
      <c r="U12" s="443"/>
      <c r="V12" s="1333" t="s">
        <v>136</v>
      </c>
      <c r="W12" s="443"/>
      <c r="X12" s="1331" t="s">
        <v>188</v>
      </c>
      <c r="Y12" s="443"/>
      <c r="Z12" s="443"/>
      <c r="AA12" s="1333" t="str">
        <f>'Cashflow Governmental'!AB14</f>
        <v>2018</v>
      </c>
      <c r="AB12" s="443" t="s">
        <v>15</v>
      </c>
      <c r="AC12" s="443"/>
      <c r="AD12" s="1333" t="str">
        <f>'Cashflow Governmental'!AE14</f>
        <v>2017</v>
      </c>
      <c r="AE12" s="1471"/>
      <c r="AF12" s="1932"/>
      <c r="AG12" s="1912" t="s">
        <v>12</v>
      </c>
      <c r="AH12" s="1913"/>
      <c r="AI12" s="1912" t="s">
        <v>13</v>
      </c>
    </row>
    <row r="13" spans="1:251" ht="4.5" customHeight="1">
      <c r="A13" s="437"/>
      <c r="B13" s="668"/>
      <c r="C13" s="437"/>
      <c r="D13" s="668"/>
      <c r="E13" s="437"/>
      <c r="F13" s="668"/>
      <c r="G13" s="437"/>
      <c r="H13" s="668"/>
      <c r="I13" s="437"/>
      <c r="J13" s="668"/>
      <c r="K13" s="437"/>
      <c r="L13" s="668"/>
      <c r="M13" s="437"/>
      <c r="N13" s="668"/>
      <c r="O13" s="437"/>
      <c r="P13" s="668"/>
      <c r="Q13" s="437"/>
      <c r="R13" s="668"/>
      <c r="S13" s="437"/>
      <c r="T13" s="668"/>
      <c r="U13" s="437"/>
      <c r="V13" s="668"/>
      <c r="W13" s="437"/>
      <c r="X13" s="668"/>
      <c r="Y13" s="437"/>
      <c r="Z13" s="437"/>
      <c r="AA13" s="668"/>
      <c r="AB13" s="437"/>
      <c r="AC13" s="437"/>
      <c r="AD13" s="668"/>
      <c r="AE13" s="1687"/>
      <c r="AF13" s="1935"/>
    </row>
    <row r="14" spans="1:251" ht="16.5" customHeight="1">
      <c r="A14" s="602" t="s">
        <v>138</v>
      </c>
      <c r="B14" s="3516">
        <v>-269.2</v>
      </c>
      <c r="C14" s="669"/>
      <c r="D14" s="669" t="s">
        <v>15</v>
      </c>
      <c r="E14" s="669"/>
      <c r="F14" s="669" t="s">
        <v>15</v>
      </c>
      <c r="G14" s="669"/>
      <c r="H14" s="669" t="s">
        <v>15</v>
      </c>
      <c r="I14" s="669" t="s">
        <v>15</v>
      </c>
      <c r="J14" s="669" t="s">
        <v>15</v>
      </c>
      <c r="K14" s="669"/>
      <c r="L14" s="669" t="s">
        <v>15</v>
      </c>
      <c r="M14" s="669"/>
      <c r="N14" s="669" t="s">
        <v>15</v>
      </c>
      <c r="O14" s="669"/>
      <c r="P14" s="669" t="s">
        <v>15</v>
      </c>
      <c r="Q14" s="669"/>
      <c r="R14" s="669" t="s">
        <v>15</v>
      </c>
      <c r="S14" s="669"/>
      <c r="T14" s="669" t="s">
        <v>15</v>
      </c>
      <c r="U14" s="669"/>
      <c r="V14" s="669" t="s">
        <v>15</v>
      </c>
      <c r="W14" s="669"/>
      <c r="X14" s="669" t="s">
        <v>15</v>
      </c>
      <c r="Y14" s="669"/>
      <c r="Z14" s="670"/>
      <c r="AA14" s="669">
        <f>B14</f>
        <v>-269.2</v>
      </c>
      <c r="AB14" s="671"/>
      <c r="AC14" s="672"/>
      <c r="AD14" s="3516">
        <v>-200.4</v>
      </c>
      <c r="AE14" s="673"/>
      <c r="AF14" s="1936"/>
      <c r="AG14" s="1914">
        <f>ROUND(SUM(AA14-AD14),1)</f>
        <v>-68.8</v>
      </c>
      <c r="AI14" s="2233">
        <f>-ROUND(IF(AG14=0,0,AG14/(AD14)),3)</f>
        <v>-0.34300000000000003</v>
      </c>
    </row>
    <row r="15" spans="1:251" ht="16.5" customHeight="1">
      <c r="A15" s="339"/>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4"/>
      <c r="AA15" s="673"/>
      <c r="AB15" s="675"/>
      <c r="AC15" s="676"/>
      <c r="AD15" s="673"/>
      <c r="AE15" s="673"/>
      <c r="AF15" s="1936"/>
      <c r="AG15" s="1916"/>
      <c r="AI15" s="1907"/>
    </row>
    <row r="16" spans="1:251" ht="16.5" customHeight="1">
      <c r="A16" s="443" t="s">
        <v>14</v>
      </c>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4"/>
      <c r="AA16" s="673"/>
      <c r="AB16" s="675"/>
      <c r="AC16" s="676"/>
      <c r="AD16" s="673"/>
      <c r="AE16" s="1492"/>
      <c r="AF16" s="1899"/>
      <c r="AG16" s="1920"/>
      <c r="AI16" s="1924"/>
    </row>
    <row r="17" spans="1:35" s="1824" customFormat="1" ht="16.5" customHeight="1">
      <c r="A17" s="383" t="s">
        <v>181</v>
      </c>
      <c r="B17" s="428">
        <f>$AA17</f>
        <v>22.6</v>
      </c>
      <c r="C17" s="428"/>
      <c r="D17" s="3065"/>
      <c r="E17" s="428"/>
      <c r="F17" s="3065"/>
      <c r="G17" s="428"/>
      <c r="H17" s="3065"/>
      <c r="I17" s="2617"/>
      <c r="J17" s="2610"/>
      <c r="K17" s="2617"/>
      <c r="L17" s="2610"/>
      <c r="M17" s="2617"/>
      <c r="N17" s="2610"/>
      <c r="O17" s="2617"/>
      <c r="P17" s="2610"/>
      <c r="Q17" s="2617"/>
      <c r="R17" s="2610"/>
      <c r="S17" s="2617"/>
      <c r="T17" s="2610"/>
      <c r="U17" s="2617"/>
      <c r="V17" s="2610"/>
      <c r="W17" s="2617"/>
      <c r="X17" s="2610"/>
      <c r="Y17" s="2617"/>
      <c r="Z17" s="2807"/>
      <c r="AA17" s="2741">
        <v>22.6</v>
      </c>
      <c r="AB17" s="2808"/>
      <c r="AC17" s="2774"/>
      <c r="AD17" s="2741">
        <v>28.1</v>
      </c>
      <c r="AE17" s="2809"/>
      <c r="AF17" s="2773"/>
      <c r="AG17" s="2810">
        <f>ROUND(SUM(AA17-AD17),1)</f>
        <v>-5.5</v>
      </c>
      <c r="AH17" s="2761"/>
      <c r="AI17" s="2811">
        <f>ROUND(IF(AG17=0,0,AG17/ABS(AD17)),3)</f>
        <v>-0.19600000000000001</v>
      </c>
    </row>
    <row r="18" spans="1:35" ht="16.5" customHeight="1">
      <c r="A18" s="339"/>
      <c r="B18" s="679"/>
      <c r="C18" s="428"/>
      <c r="D18" s="679"/>
      <c r="E18" s="428"/>
      <c r="F18" s="679"/>
      <c r="G18" s="428"/>
      <c r="H18" s="679"/>
      <c r="I18" s="428"/>
      <c r="J18" s="679"/>
      <c r="K18" s="428"/>
      <c r="L18" s="679"/>
      <c r="M18" s="428"/>
      <c r="N18" s="679"/>
      <c r="O18" s="428"/>
      <c r="P18" s="679"/>
      <c r="Q18" s="428"/>
      <c r="R18" s="679"/>
      <c r="S18" s="428"/>
      <c r="T18" s="679"/>
      <c r="U18" s="428"/>
      <c r="V18" s="679"/>
      <c r="W18" s="428"/>
      <c r="X18" s="679"/>
      <c r="Y18" s="428"/>
      <c r="Z18" s="677"/>
      <c r="AA18" s="1740"/>
      <c r="AB18" s="678"/>
      <c r="AC18" s="433"/>
      <c r="AD18" s="1740"/>
      <c r="AE18" s="433"/>
      <c r="AF18" s="1899"/>
      <c r="AG18" s="1920"/>
      <c r="AI18" s="1907"/>
    </row>
    <row r="19" spans="1:35" ht="16.5" customHeight="1">
      <c r="A19" s="443" t="s">
        <v>152</v>
      </c>
      <c r="B19" s="680">
        <f>ROUND(SUM(B17),1)</f>
        <v>22.6</v>
      </c>
      <c r="C19" s="680"/>
      <c r="D19" s="680">
        <f>ROUND(SUM(D17),1)</f>
        <v>0</v>
      </c>
      <c r="E19" s="680"/>
      <c r="F19" s="680">
        <f>ROUND(SUM(F17),1)</f>
        <v>0</v>
      </c>
      <c r="G19" s="680"/>
      <c r="H19" s="680">
        <f>ROUND(SUM(H17),1)</f>
        <v>0</v>
      </c>
      <c r="I19" s="680"/>
      <c r="J19" s="680">
        <f>ROUND(SUM(J17),1)</f>
        <v>0</v>
      </c>
      <c r="K19" s="680"/>
      <c r="L19" s="680">
        <f>ROUND(SUM(L17),1)</f>
        <v>0</v>
      </c>
      <c r="M19" s="680"/>
      <c r="N19" s="680">
        <f>ROUND(SUM(N17),1)</f>
        <v>0</v>
      </c>
      <c r="O19" s="680"/>
      <c r="P19" s="680">
        <f>ROUND(SUM(P17),1)</f>
        <v>0</v>
      </c>
      <c r="Q19" s="680"/>
      <c r="R19" s="680">
        <f>ROUND(SUM(R17),1)</f>
        <v>0</v>
      </c>
      <c r="S19" s="680"/>
      <c r="T19" s="680">
        <f>ROUND(SUM(T17),1)</f>
        <v>0</v>
      </c>
      <c r="U19" s="680"/>
      <c r="V19" s="680">
        <f>ROUND(SUM(V17),1)</f>
        <v>0</v>
      </c>
      <c r="W19" s="680"/>
      <c r="X19" s="680">
        <f>ROUND(SUM(X17),1)</f>
        <v>0</v>
      </c>
      <c r="Y19" s="680"/>
      <c r="Z19" s="681"/>
      <c r="AA19" s="680">
        <f>ROUND(SUM(AA17),1)</f>
        <v>22.6</v>
      </c>
      <c r="AB19" s="682"/>
      <c r="AC19" s="683"/>
      <c r="AD19" s="680">
        <f>ROUND(SUM(AD17),1)</f>
        <v>28.1</v>
      </c>
      <c r="AE19" s="428"/>
      <c r="AF19" s="1899"/>
      <c r="AG19" s="1921">
        <f>ROUND(SUM(AG17),1)</f>
        <v>-5.5</v>
      </c>
      <c r="AH19" s="1922"/>
      <c r="AI19" s="1923">
        <f>ROUND(IF(AG19=0,0,AG19/ABS(AD19)),3)</f>
        <v>-0.19600000000000001</v>
      </c>
    </row>
    <row r="20" spans="1:35" ht="16.5" customHeight="1">
      <c r="A20" s="339"/>
      <c r="B20" s="679"/>
      <c r="C20" s="428"/>
      <c r="D20" s="679"/>
      <c r="E20" s="428"/>
      <c r="F20" s="679"/>
      <c r="G20" s="428"/>
      <c r="H20" s="679"/>
      <c r="I20" s="428"/>
      <c r="J20" s="679"/>
      <c r="K20" s="428"/>
      <c r="L20" s="679"/>
      <c r="M20" s="428"/>
      <c r="N20" s="679"/>
      <c r="O20" s="428"/>
      <c r="P20" s="679"/>
      <c r="Q20" s="428"/>
      <c r="R20" s="679"/>
      <c r="S20" s="428"/>
      <c r="T20" s="679"/>
      <c r="U20" s="428"/>
      <c r="V20" s="679"/>
      <c r="W20" s="428"/>
      <c r="X20" s="679"/>
      <c r="Y20" s="428"/>
      <c r="Z20" s="677"/>
      <c r="AA20" s="679"/>
      <c r="AB20" s="678"/>
      <c r="AC20" s="433"/>
      <c r="AD20" s="679"/>
      <c r="AE20" s="428"/>
      <c r="AF20" s="1899"/>
      <c r="AG20" s="1920"/>
      <c r="AI20" s="1907"/>
    </row>
    <row r="21" spans="1:35" ht="16.5" customHeight="1">
      <c r="A21" s="339"/>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677"/>
      <c r="AA21" s="428"/>
      <c r="AB21" s="678"/>
      <c r="AC21" s="433"/>
      <c r="AD21" s="428"/>
      <c r="AE21" s="429"/>
      <c r="AF21" s="1900"/>
      <c r="AG21" s="1920"/>
      <c r="AI21" s="1907"/>
    </row>
    <row r="22" spans="1:35" ht="16.5" customHeight="1">
      <c r="A22" s="339"/>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677"/>
      <c r="AA22" s="428"/>
      <c r="AB22" s="678"/>
      <c r="AC22" s="433"/>
      <c r="AD22" s="428"/>
      <c r="AE22" s="651"/>
      <c r="AF22" s="1900"/>
      <c r="AG22" s="1920"/>
      <c r="AI22" s="1924"/>
    </row>
    <row r="23" spans="1:35" ht="16.5" customHeight="1">
      <c r="A23" s="443" t="s">
        <v>23</v>
      </c>
      <c r="B23" s="428"/>
      <c r="C23" s="428"/>
      <c r="D23" s="428"/>
      <c r="E23" s="428"/>
      <c r="F23" s="428"/>
      <c r="G23" s="428"/>
      <c r="H23" s="428"/>
      <c r="I23" s="428"/>
      <c r="J23" s="428"/>
      <c r="K23" s="428"/>
      <c r="L23" s="428"/>
      <c r="M23" s="428"/>
      <c r="N23" s="428"/>
      <c r="O23" s="428"/>
      <c r="P23" s="428"/>
      <c r="Q23" s="428"/>
      <c r="R23" s="428"/>
      <c r="S23" s="428"/>
      <c r="T23" s="428"/>
      <c r="U23" s="428"/>
      <c r="V23" s="428"/>
      <c r="W23" s="428"/>
      <c r="X23" s="2617"/>
      <c r="Y23" s="2617"/>
      <c r="Z23" s="2807"/>
      <c r="AA23" s="2617"/>
      <c r="AB23" s="2808"/>
      <c r="AC23" s="2774"/>
      <c r="AD23" s="2617"/>
      <c r="AE23" s="2776"/>
      <c r="AF23" s="2779"/>
      <c r="AG23" s="1920"/>
      <c r="AH23" s="1925"/>
      <c r="AI23" s="1924"/>
    </row>
    <row r="24" spans="1:35" ht="16.5" customHeight="1">
      <c r="A24" s="339" t="s">
        <v>154</v>
      </c>
      <c r="B24" s="428"/>
      <c r="C24" s="428"/>
      <c r="D24" s="428"/>
      <c r="E24" s="428"/>
      <c r="F24" s="428"/>
      <c r="G24" s="428"/>
      <c r="H24" s="428"/>
      <c r="I24" s="428"/>
      <c r="J24" s="428"/>
      <c r="K24" s="428"/>
      <c r="L24" s="428"/>
      <c r="M24" s="428"/>
      <c r="N24" s="428"/>
      <c r="O24" s="428"/>
      <c r="P24" s="428"/>
      <c r="Q24" s="428"/>
      <c r="R24" s="428"/>
      <c r="S24" s="428"/>
      <c r="T24" s="428"/>
      <c r="U24" s="428"/>
      <c r="V24" s="428"/>
      <c r="W24" s="428"/>
      <c r="X24" s="2617"/>
      <c r="Y24" s="2617"/>
      <c r="Z24" s="2807"/>
      <c r="AA24" s="2776"/>
      <c r="AB24" s="2808"/>
      <c r="AC24" s="2774"/>
      <c r="AD24" s="2776"/>
      <c r="AE24" s="3620"/>
      <c r="AF24" s="2779"/>
      <c r="AG24" s="1920"/>
      <c r="AI24" s="1924"/>
    </row>
    <row r="25" spans="1:35" ht="16.5" customHeight="1">
      <c r="A25" s="339" t="s">
        <v>222</v>
      </c>
      <c r="B25" s="428">
        <f>$AA25</f>
        <v>8.1</v>
      </c>
      <c r="C25" s="428"/>
      <c r="D25" s="3065"/>
      <c r="E25" s="428"/>
      <c r="F25" s="3065"/>
      <c r="G25" s="428"/>
      <c r="H25" s="3065"/>
      <c r="I25" s="2617"/>
      <c r="J25" s="2610"/>
      <c r="K25" s="2617"/>
      <c r="L25" s="2610"/>
      <c r="M25" s="2617"/>
      <c r="N25" s="2610"/>
      <c r="O25" s="2617"/>
      <c r="P25" s="2610"/>
      <c r="Q25" s="2617"/>
      <c r="R25" s="2610"/>
      <c r="S25" s="2617"/>
      <c r="T25" s="2610"/>
      <c r="U25" s="2617"/>
      <c r="V25" s="2610"/>
      <c r="W25" s="2617"/>
      <c r="X25" s="2610"/>
      <c r="Y25" s="2617"/>
      <c r="Z25" s="2807"/>
      <c r="AA25" s="2610">
        <v>8.1</v>
      </c>
      <c r="AB25" s="2808"/>
      <c r="AC25" s="2774"/>
      <c r="AD25" s="2610">
        <v>7.6000000000000005</v>
      </c>
      <c r="AE25" s="3621"/>
      <c r="AF25" s="2779"/>
      <c r="AG25" s="1920">
        <f>ROUND(SUM(AA25-AD25),1)</f>
        <v>0.5</v>
      </c>
      <c r="AI25" s="1926">
        <f>ROUND(IF(AG25=0,0,AG25/ABS(AD25)),3)</f>
        <v>6.6000000000000003E-2</v>
      </c>
    </row>
    <row r="26" spans="1:35" ht="16.5" customHeight="1">
      <c r="A26" s="339" t="s">
        <v>182</v>
      </c>
      <c r="B26" s="428">
        <f t="shared" ref="B26:B27" si="0">$AA26</f>
        <v>48</v>
      </c>
      <c r="C26" s="428"/>
      <c r="D26" s="3065"/>
      <c r="E26" s="428"/>
      <c r="F26" s="3065"/>
      <c r="G26" s="428"/>
      <c r="H26" s="3065"/>
      <c r="I26" s="2617"/>
      <c r="J26" s="2610"/>
      <c r="K26" s="2617"/>
      <c r="L26" s="2610"/>
      <c r="M26" s="2617"/>
      <c r="N26" s="2610"/>
      <c r="O26" s="2617"/>
      <c r="P26" s="2610"/>
      <c r="Q26" s="2617"/>
      <c r="R26" s="2610"/>
      <c r="S26" s="2617"/>
      <c r="T26" s="2610"/>
      <c r="U26" s="2617"/>
      <c r="V26" s="2610"/>
      <c r="W26" s="2617"/>
      <c r="X26" s="2610"/>
      <c r="Y26" s="2617"/>
      <c r="Z26" s="2807"/>
      <c r="AA26" s="2610">
        <v>48</v>
      </c>
      <c r="AB26" s="2808"/>
      <c r="AC26" s="2774"/>
      <c r="AD26" s="2610">
        <v>83.2</v>
      </c>
      <c r="AE26" s="2774"/>
      <c r="AF26" s="2773"/>
      <c r="AG26" s="1920">
        <f>ROUND(SUM(AA26-AD26),1)</f>
        <v>-35.200000000000003</v>
      </c>
      <c r="AI26" s="1926">
        <f>ROUND(IF(AG26=0,0,AG26/ABS(AD26)),3)</f>
        <v>-0.42299999999999999</v>
      </c>
    </row>
    <row r="27" spans="1:35" ht="16.5" customHeight="1">
      <c r="A27" s="339" t="s">
        <v>157</v>
      </c>
      <c r="B27" s="428">
        <f t="shared" si="0"/>
        <v>0.2</v>
      </c>
      <c r="C27" s="428"/>
      <c r="D27" s="3065"/>
      <c r="E27" s="428"/>
      <c r="F27" s="3065"/>
      <c r="G27" s="428"/>
      <c r="H27" s="3065"/>
      <c r="I27" s="2617"/>
      <c r="J27" s="2610"/>
      <c r="K27" s="2617"/>
      <c r="L27" s="2610"/>
      <c r="M27" s="2617"/>
      <c r="N27" s="2610"/>
      <c r="O27" s="2617"/>
      <c r="P27" s="2610"/>
      <c r="Q27" s="2617"/>
      <c r="R27" s="2610"/>
      <c r="S27" s="2617"/>
      <c r="T27" s="2610"/>
      <c r="U27" s="2617"/>
      <c r="V27" s="2610"/>
      <c r="W27" s="2617"/>
      <c r="X27" s="2610"/>
      <c r="Y27" s="2617"/>
      <c r="Z27" s="2807"/>
      <c r="AA27" s="2610">
        <v>0.2</v>
      </c>
      <c r="AB27" s="2808"/>
      <c r="AC27" s="2774"/>
      <c r="AD27" s="2610">
        <v>0</v>
      </c>
      <c r="AE27" s="2617"/>
      <c r="AF27" s="2773"/>
      <c r="AG27" s="1927">
        <f>ROUND(SUM(AA27-AD27),1)</f>
        <v>0.2</v>
      </c>
      <c r="AI27" s="3559">
        <f>ROUND(IF(AD27=0,1,AG27/ABS(AD27)),3)</f>
        <v>1</v>
      </c>
    </row>
    <row r="28" spans="1:35" ht="16.5" customHeight="1">
      <c r="A28" s="339"/>
      <c r="B28" s="679"/>
      <c r="C28" s="428"/>
      <c r="D28" s="679"/>
      <c r="E28" s="428"/>
      <c r="F28" s="679"/>
      <c r="G28" s="428"/>
      <c r="H28" s="679"/>
      <c r="I28" s="428"/>
      <c r="J28" s="679"/>
      <c r="K28" s="428"/>
      <c r="L28" s="679"/>
      <c r="M28" s="428"/>
      <c r="N28" s="679"/>
      <c r="O28" s="428"/>
      <c r="P28" s="679"/>
      <c r="Q28" s="428"/>
      <c r="R28" s="679"/>
      <c r="S28" s="428"/>
      <c r="T28" s="679"/>
      <c r="U28" s="428"/>
      <c r="V28" s="679"/>
      <c r="W28" s="428"/>
      <c r="X28" s="3622"/>
      <c r="Y28" s="2617"/>
      <c r="Z28" s="2807"/>
      <c r="AA28" s="3622"/>
      <c r="AB28" s="2808"/>
      <c r="AC28" s="2774"/>
      <c r="AD28" s="3622"/>
      <c r="AE28" s="3623"/>
      <c r="AF28" s="2779"/>
      <c r="AG28" s="1920"/>
      <c r="AH28" s="1929"/>
      <c r="AI28" s="1924"/>
    </row>
    <row r="29" spans="1:35" ht="16.5" customHeight="1">
      <c r="A29" s="443" t="s">
        <v>158</v>
      </c>
      <c r="B29" s="680">
        <f>ROUND(SUM(B25:B28),1)</f>
        <v>56.3</v>
      </c>
      <c r="C29" s="680"/>
      <c r="D29" s="680">
        <f>ROUND(SUM(D25:D28),1)</f>
        <v>0</v>
      </c>
      <c r="E29" s="680"/>
      <c r="F29" s="680">
        <f>ROUND(SUM(F25:F28),1)</f>
        <v>0</v>
      </c>
      <c r="G29" s="680"/>
      <c r="H29" s="680">
        <f>ROUND(SUM(H25:H28),1)</f>
        <v>0</v>
      </c>
      <c r="I29" s="680"/>
      <c r="J29" s="680">
        <f>ROUND(SUM(J25:J28),1)</f>
        <v>0</v>
      </c>
      <c r="K29" s="680"/>
      <c r="L29" s="680">
        <f>ROUND(SUM(L25:L28),1)</f>
        <v>0</v>
      </c>
      <c r="M29" s="680"/>
      <c r="N29" s="680">
        <f>ROUND(SUM(N25:N28),1)</f>
        <v>0</v>
      </c>
      <c r="O29" s="680"/>
      <c r="P29" s="680">
        <f>ROUND(SUM(P25:P28),1)</f>
        <v>0</v>
      </c>
      <c r="Q29" s="680"/>
      <c r="R29" s="680">
        <f>ROUND(SUM(R25:R28),1)</f>
        <v>0</v>
      </c>
      <c r="S29" s="680"/>
      <c r="T29" s="680">
        <f>ROUND(SUM(T25:T28),1)</f>
        <v>0</v>
      </c>
      <c r="U29" s="680"/>
      <c r="V29" s="680">
        <f>ROUND(SUM(V25:V28),1)</f>
        <v>0</v>
      </c>
      <c r="W29" s="680">
        <f>SUM(W25:W28)</f>
        <v>0</v>
      </c>
      <c r="X29" s="3624">
        <f>ROUND(SUM(X25:X27),1)</f>
        <v>0</v>
      </c>
      <c r="Y29" s="3624"/>
      <c r="Z29" s="3625"/>
      <c r="AA29" s="3624">
        <f>ROUND(SUM(AA24:AA27),1)</f>
        <v>56.3</v>
      </c>
      <c r="AB29" s="3626"/>
      <c r="AC29" s="3627"/>
      <c r="AD29" s="3624">
        <f>ROUND(SUM(AD24:AD27),1)</f>
        <v>90.8</v>
      </c>
      <c r="AE29" s="2774"/>
      <c r="AF29" s="2787"/>
      <c r="AG29" s="1921">
        <f>ROUND(SUM(AG25:AG27),1)</f>
        <v>-34.5</v>
      </c>
      <c r="AH29" s="1922"/>
      <c r="AI29" s="1923">
        <f>ROUND(IF(AG29=0,0,AG29/ABS(AD29)),3)</f>
        <v>-0.38</v>
      </c>
    </row>
    <row r="30" spans="1:35" ht="16.5" customHeight="1">
      <c r="A30" s="339"/>
      <c r="B30" s="679"/>
      <c r="C30" s="428"/>
      <c r="D30" s="679"/>
      <c r="E30" s="428"/>
      <c r="F30" s="679"/>
      <c r="G30" s="428"/>
      <c r="H30" s="679"/>
      <c r="I30" s="428"/>
      <c r="J30" s="679"/>
      <c r="K30" s="428"/>
      <c r="L30" s="679"/>
      <c r="M30" s="428"/>
      <c r="N30" s="679"/>
      <c r="O30" s="428"/>
      <c r="P30" s="679"/>
      <c r="Q30" s="428"/>
      <c r="R30" s="679"/>
      <c r="S30" s="428"/>
      <c r="T30" s="679"/>
      <c r="U30" s="428"/>
      <c r="V30" s="679"/>
      <c r="W30" s="428"/>
      <c r="X30" s="3622"/>
      <c r="Y30" s="2617"/>
      <c r="Z30" s="2807"/>
      <c r="AA30" s="3622"/>
      <c r="AB30" s="2808"/>
      <c r="AC30" s="2774"/>
      <c r="AD30" s="3622"/>
      <c r="AE30" s="2617"/>
      <c r="AF30" s="2787"/>
      <c r="AG30" s="1920"/>
      <c r="AI30" s="1907"/>
    </row>
    <row r="31" spans="1:35" ht="16.5" customHeight="1">
      <c r="A31" s="339"/>
      <c r="B31" s="428"/>
      <c r="C31" s="428"/>
      <c r="D31" s="428"/>
      <c r="E31" s="428"/>
      <c r="F31" s="428"/>
      <c r="G31" s="428"/>
      <c r="H31" s="428"/>
      <c r="I31" s="428"/>
      <c r="J31" s="428"/>
      <c r="K31" s="428"/>
      <c r="L31" s="428"/>
      <c r="M31" s="428"/>
      <c r="N31" s="428"/>
      <c r="O31" s="428"/>
      <c r="P31" s="428"/>
      <c r="Q31" s="428"/>
      <c r="R31" s="428"/>
      <c r="S31" s="428"/>
      <c r="T31" s="428"/>
      <c r="U31" s="428"/>
      <c r="V31" s="428"/>
      <c r="W31" s="428"/>
      <c r="X31" s="2617"/>
      <c r="Y31" s="2617"/>
      <c r="Z31" s="2807"/>
      <c r="AA31" s="2617"/>
      <c r="AB31" s="2808"/>
      <c r="AC31" s="2774"/>
      <c r="AD31" s="2617"/>
      <c r="AE31" s="2776"/>
      <c r="AF31" s="2784"/>
      <c r="AG31" s="1920"/>
      <c r="AH31" s="1925"/>
      <c r="AI31" s="1924"/>
    </row>
    <row r="32" spans="1:35" ht="16.5" customHeight="1">
      <c r="A32" s="339"/>
      <c r="B32" s="428"/>
      <c r="C32" s="428"/>
      <c r="D32" s="428"/>
      <c r="E32" s="428"/>
      <c r="F32" s="428"/>
      <c r="G32" s="428"/>
      <c r="H32" s="428"/>
      <c r="I32" s="428"/>
      <c r="J32" s="428"/>
      <c r="K32" s="428"/>
      <c r="L32" s="428"/>
      <c r="M32" s="428"/>
      <c r="N32" s="428"/>
      <c r="O32" s="428"/>
      <c r="P32" s="428"/>
      <c r="Q32" s="428"/>
      <c r="R32" s="428"/>
      <c r="S32" s="428"/>
      <c r="T32" s="428"/>
      <c r="U32" s="428"/>
      <c r="V32" s="428"/>
      <c r="W32" s="428"/>
      <c r="X32" s="2617"/>
      <c r="Y32" s="2617"/>
      <c r="Z32" s="2807"/>
      <c r="AA32" s="2617"/>
      <c r="AB32" s="2808"/>
      <c r="AC32" s="2774"/>
      <c r="AD32" s="2617"/>
      <c r="AE32" s="2776"/>
      <c r="AF32" s="2787"/>
      <c r="AG32" s="1920"/>
      <c r="AH32" s="1925"/>
      <c r="AI32" s="1924"/>
    </row>
    <row r="33" spans="1:35" ht="16.5" customHeight="1">
      <c r="A33" s="443" t="s">
        <v>159</v>
      </c>
      <c r="B33" s="428"/>
      <c r="C33" s="428"/>
      <c r="D33" s="428"/>
      <c r="E33" s="428"/>
      <c r="F33" s="428"/>
      <c r="G33" s="428"/>
      <c r="H33" s="428"/>
      <c r="I33" s="428"/>
      <c r="J33" s="428"/>
      <c r="K33" s="428"/>
      <c r="L33" s="428"/>
      <c r="M33" s="428"/>
      <c r="N33" s="428"/>
      <c r="O33" s="428"/>
      <c r="P33" s="428"/>
      <c r="Q33" s="428"/>
      <c r="R33" s="428"/>
      <c r="S33" s="428"/>
      <c r="T33" s="428"/>
      <c r="U33" s="428"/>
      <c r="V33" s="428"/>
      <c r="W33" s="428"/>
      <c r="X33" s="2617"/>
      <c r="Y33" s="2617"/>
      <c r="Z33" s="2807"/>
      <c r="AA33" s="2617"/>
      <c r="AB33" s="2808"/>
      <c r="AC33" s="2774"/>
      <c r="AD33" s="2617"/>
      <c r="AE33" s="3628"/>
      <c r="AF33" s="2784"/>
      <c r="AG33" s="1920"/>
      <c r="AH33" s="1925"/>
      <c r="AI33" s="1924"/>
    </row>
    <row r="34" spans="1:35" ht="16.5" customHeight="1">
      <c r="A34" s="443" t="s">
        <v>45</v>
      </c>
      <c r="B34" s="680">
        <f>ROUND(B19-B29,1)</f>
        <v>-33.700000000000003</v>
      </c>
      <c r="C34" s="680"/>
      <c r="D34" s="680">
        <f>ROUND(D19-D29,1)</f>
        <v>0</v>
      </c>
      <c r="E34" s="680"/>
      <c r="F34" s="680">
        <f>ROUND(F19-F29,1)</f>
        <v>0</v>
      </c>
      <c r="G34" s="680"/>
      <c r="H34" s="680">
        <f>ROUND(H19-H29,1)</f>
        <v>0</v>
      </c>
      <c r="I34" s="680"/>
      <c r="J34" s="680">
        <f>ROUND(J19-J29,1)</f>
        <v>0</v>
      </c>
      <c r="K34" s="680"/>
      <c r="L34" s="680">
        <f>ROUND(L19-L29,1)</f>
        <v>0</v>
      </c>
      <c r="M34" s="680"/>
      <c r="N34" s="680">
        <f>ROUND(N19-N29,1)</f>
        <v>0</v>
      </c>
      <c r="O34" s="680"/>
      <c r="P34" s="680">
        <f>ROUND(P19-P29,1)</f>
        <v>0</v>
      </c>
      <c r="Q34" s="680"/>
      <c r="R34" s="680">
        <f>ROUND(R19-R29,1)</f>
        <v>0</v>
      </c>
      <c r="S34" s="680"/>
      <c r="T34" s="680">
        <f>ROUND(T19-T29,1)</f>
        <v>0</v>
      </c>
      <c r="U34" s="680"/>
      <c r="V34" s="680">
        <f>ROUND(V19-V29,1)</f>
        <v>0</v>
      </c>
      <c r="W34" s="680"/>
      <c r="X34" s="3624">
        <f>ROUND(X19-X29,1)</f>
        <v>0</v>
      </c>
      <c r="Y34" s="3624"/>
      <c r="Z34" s="3625"/>
      <c r="AA34" s="3624">
        <f>ROUND(AA19-AA29,1)</f>
        <v>-33.700000000000003</v>
      </c>
      <c r="AB34" s="3626"/>
      <c r="AC34" s="3627"/>
      <c r="AD34" s="3624">
        <f>ROUND(AD19-AD29,1)</f>
        <v>-62.7</v>
      </c>
      <c r="AE34" s="2774"/>
      <c r="AF34" s="2773"/>
      <c r="AG34" s="1921">
        <f>ROUND(SUM(AG19-AG29),1)</f>
        <v>29</v>
      </c>
      <c r="AH34" s="1922"/>
      <c r="AI34" s="3469">
        <f>ROUND(IF(AG34=0,0,AG34/ABS(AD34)),3)</f>
        <v>0.46300000000000002</v>
      </c>
    </row>
    <row r="35" spans="1:35" ht="16.5" customHeight="1">
      <c r="A35" s="339"/>
      <c r="B35" s="679"/>
      <c r="C35" s="428"/>
      <c r="D35" s="679"/>
      <c r="E35" s="428"/>
      <c r="F35" s="679"/>
      <c r="G35" s="428"/>
      <c r="H35" s="679"/>
      <c r="I35" s="428"/>
      <c r="J35" s="679"/>
      <c r="K35" s="428"/>
      <c r="L35" s="679"/>
      <c r="M35" s="428"/>
      <c r="N35" s="679"/>
      <c r="O35" s="428"/>
      <c r="P35" s="679"/>
      <c r="Q35" s="428"/>
      <c r="R35" s="679"/>
      <c r="S35" s="428"/>
      <c r="T35" s="679"/>
      <c r="U35" s="428"/>
      <c r="V35" s="679"/>
      <c r="W35" s="428"/>
      <c r="X35" s="3622"/>
      <c r="Y35" s="2617"/>
      <c r="Z35" s="2807"/>
      <c r="AA35" s="3622"/>
      <c r="AB35" s="2808"/>
      <c r="AC35" s="2774"/>
      <c r="AD35" s="3622"/>
      <c r="AE35" s="2617"/>
      <c r="AF35" s="2773"/>
      <c r="AG35" s="1920"/>
      <c r="AI35" s="1907"/>
    </row>
    <row r="36" spans="1:35" ht="16.5" customHeight="1">
      <c r="A36" s="339"/>
      <c r="B36" s="428"/>
      <c r="C36" s="428"/>
      <c r="D36" s="428"/>
      <c r="E36" s="428"/>
      <c r="F36" s="428"/>
      <c r="G36" s="428"/>
      <c r="H36" s="428"/>
      <c r="I36" s="428"/>
      <c r="J36" s="428"/>
      <c r="K36" s="428"/>
      <c r="L36" s="428"/>
      <c r="M36" s="428"/>
      <c r="N36" s="428"/>
      <c r="O36" s="428"/>
      <c r="P36" s="428"/>
      <c r="Q36" s="428"/>
      <c r="R36" s="428"/>
      <c r="S36" s="428"/>
      <c r="T36" s="428"/>
      <c r="U36" s="428"/>
      <c r="V36" s="428"/>
      <c r="W36" s="428"/>
      <c r="X36" s="2617"/>
      <c r="Y36" s="2617"/>
      <c r="Z36" s="2807"/>
      <c r="AA36" s="2617"/>
      <c r="AB36" s="2808"/>
      <c r="AC36" s="2774"/>
      <c r="AD36" s="2617"/>
      <c r="AE36" s="3629"/>
      <c r="AF36" s="2819"/>
      <c r="AG36" s="1920"/>
      <c r="AI36" s="1907"/>
    </row>
    <row r="37" spans="1:35" ht="16.5" customHeight="1">
      <c r="A37" s="339"/>
      <c r="B37" s="428"/>
      <c r="C37" s="428"/>
      <c r="D37" s="428"/>
      <c r="E37" s="428"/>
      <c r="F37" s="428"/>
      <c r="G37" s="428"/>
      <c r="H37" s="428"/>
      <c r="I37" s="428"/>
      <c r="J37" s="428"/>
      <c r="K37" s="428"/>
      <c r="L37" s="428"/>
      <c r="M37" s="428"/>
      <c r="N37" s="428"/>
      <c r="O37" s="428"/>
      <c r="P37" s="428"/>
      <c r="Q37" s="428"/>
      <c r="R37" s="428"/>
      <c r="S37" s="428"/>
      <c r="T37" s="428"/>
      <c r="U37" s="428"/>
      <c r="V37" s="428"/>
      <c r="W37" s="428"/>
      <c r="X37" s="2617"/>
      <c r="Y37" s="2617"/>
      <c r="Z37" s="2807"/>
      <c r="AA37" s="2617"/>
      <c r="AB37" s="2808"/>
      <c r="AC37" s="2774"/>
      <c r="AD37" s="2617"/>
      <c r="AE37" s="3623"/>
      <c r="AF37" s="3630"/>
      <c r="AG37" s="1920"/>
      <c r="AI37" s="1924"/>
    </row>
    <row r="38" spans="1:35" ht="16.5" customHeight="1">
      <c r="A38" s="443" t="s">
        <v>46</v>
      </c>
      <c r="B38" s="428"/>
      <c r="C38" s="428"/>
      <c r="D38" s="428"/>
      <c r="E38" s="428"/>
      <c r="F38" s="428"/>
      <c r="G38" s="428"/>
      <c r="H38" s="428"/>
      <c r="I38" s="428"/>
      <c r="J38" s="428"/>
      <c r="K38" s="428"/>
      <c r="L38" s="428"/>
      <c r="M38" s="428"/>
      <c r="N38" s="428"/>
      <c r="O38" s="428"/>
      <c r="P38" s="428"/>
      <c r="Q38" s="428"/>
      <c r="R38" s="428"/>
      <c r="S38" s="428"/>
      <c r="T38" s="428"/>
      <c r="U38" s="428"/>
      <c r="V38" s="428"/>
      <c r="W38" s="428"/>
      <c r="X38" s="2617"/>
      <c r="Y38" s="2617"/>
      <c r="Z38" s="2807"/>
      <c r="AA38" s="2617"/>
      <c r="AB38" s="2808"/>
      <c r="AC38" s="2774"/>
      <c r="AD38" s="2617"/>
      <c r="AE38" s="3631"/>
      <c r="AF38" s="3632"/>
      <c r="AG38" s="1930"/>
      <c r="AH38" s="1931"/>
      <c r="AI38" s="1924"/>
    </row>
    <row r="39" spans="1:35" ht="16.5" customHeight="1">
      <c r="A39" s="339" t="s">
        <v>184</v>
      </c>
      <c r="B39" s="428">
        <f>$AA39</f>
        <v>2.6</v>
      </c>
      <c r="C39" s="428"/>
      <c r="D39" s="3065"/>
      <c r="E39" s="428"/>
      <c r="F39" s="3065"/>
      <c r="G39" s="428"/>
      <c r="H39" s="3065"/>
      <c r="I39" s="2617"/>
      <c r="J39" s="2610"/>
      <c r="K39" s="2617"/>
      <c r="L39" s="2610"/>
      <c r="M39" s="2617"/>
      <c r="N39" s="2610"/>
      <c r="O39" s="2617"/>
      <c r="P39" s="2610"/>
      <c r="Q39" s="2617"/>
      <c r="R39" s="2610"/>
      <c r="S39" s="2617"/>
      <c r="T39" s="2610"/>
      <c r="U39" s="2617"/>
      <c r="V39" s="2610"/>
      <c r="W39" s="2617"/>
      <c r="X39" s="2610"/>
      <c r="Y39" s="2617"/>
      <c r="Z39" s="2807"/>
      <c r="AA39" s="2610">
        <v>2.6</v>
      </c>
      <c r="AB39" s="2808"/>
      <c r="AC39" s="2774"/>
      <c r="AD39" s="2610">
        <v>1.8</v>
      </c>
      <c r="AE39" s="3633"/>
      <c r="AF39" s="2819"/>
      <c r="AG39" s="1920">
        <f>ROUND(SUM(AA39-AD39),1)</f>
        <v>0.8</v>
      </c>
      <c r="AH39" s="1925"/>
      <c r="AI39" s="1926">
        <f>ROUND(IF(AG39=0,0,AG39/ABS(AD39)),3)</f>
        <v>0.44400000000000001</v>
      </c>
    </row>
    <row r="40" spans="1:35" ht="16.5" customHeight="1">
      <c r="A40" s="339" t="s">
        <v>185</v>
      </c>
      <c r="B40" s="428">
        <f>$AA40</f>
        <v>0</v>
      </c>
      <c r="C40" s="428"/>
      <c r="D40" s="3065"/>
      <c r="E40" s="428"/>
      <c r="F40" s="3065"/>
      <c r="G40" s="428"/>
      <c r="H40" s="3065"/>
      <c r="I40" s="2617"/>
      <c r="J40" s="2610"/>
      <c r="K40" s="2617"/>
      <c r="L40" s="2610"/>
      <c r="M40" s="2617"/>
      <c r="N40" s="2610"/>
      <c r="O40" s="2617"/>
      <c r="P40" s="2610"/>
      <c r="Q40" s="2617"/>
      <c r="R40" s="2610"/>
      <c r="S40" s="2617"/>
      <c r="T40" s="2610"/>
      <c r="U40" s="2617"/>
      <c r="V40" s="2610"/>
      <c r="W40" s="2617"/>
      <c r="X40" s="2610"/>
      <c r="Y40" s="2617"/>
      <c r="Z40" s="2807"/>
      <c r="AA40" s="2610">
        <v>0</v>
      </c>
      <c r="AB40" s="2808"/>
      <c r="AC40" s="2774"/>
      <c r="AD40" s="2610">
        <v>0</v>
      </c>
      <c r="AE40" s="306"/>
      <c r="AF40" s="2819"/>
      <c r="AG40" s="3538">
        <f>ROUND(SUM(AA40-AD40),1)*-1</f>
        <v>0</v>
      </c>
      <c r="AH40" s="1925"/>
      <c r="AI40" s="2202">
        <f>ROUND(IF(AG40=0,0,AG40/ABS(AD40)),3)</f>
        <v>0</v>
      </c>
    </row>
    <row r="41" spans="1:35" ht="16.5" customHeight="1">
      <c r="A41" s="339"/>
      <c r="B41" s="679"/>
      <c r="C41" s="428"/>
      <c r="D41" s="679"/>
      <c r="E41" s="428"/>
      <c r="F41" s="679"/>
      <c r="G41" s="428"/>
      <c r="H41" s="679"/>
      <c r="I41" s="428"/>
      <c r="J41" s="679"/>
      <c r="K41" s="428"/>
      <c r="L41" s="679"/>
      <c r="M41" s="428"/>
      <c r="N41" s="679"/>
      <c r="O41" s="428"/>
      <c r="P41" s="679"/>
      <c r="Q41" s="428"/>
      <c r="R41" s="679"/>
      <c r="S41" s="428"/>
      <c r="T41" s="679"/>
      <c r="U41" s="428"/>
      <c r="V41" s="679"/>
      <c r="W41" s="428"/>
      <c r="X41" s="3622"/>
      <c r="Y41" s="2617"/>
      <c r="Z41" s="2807"/>
      <c r="AA41" s="3634"/>
      <c r="AB41" s="2808"/>
      <c r="AC41" s="2774"/>
      <c r="AD41" s="3634"/>
      <c r="AE41" s="329"/>
      <c r="AF41" s="2819"/>
      <c r="AG41" s="1916"/>
    </row>
    <row r="42" spans="1:35" ht="16.5" customHeight="1">
      <c r="A42" s="443" t="s">
        <v>211</v>
      </c>
      <c r="B42" s="680">
        <f>ROUND(SUM(B39:B41),1)</f>
        <v>2.6</v>
      </c>
      <c r="C42" s="680"/>
      <c r="D42" s="680">
        <f>ROUND(SUM(D39:D41),1)</f>
        <v>0</v>
      </c>
      <c r="E42" s="680"/>
      <c r="F42" s="680">
        <f>ROUND(SUM(F39:F41),1)</f>
        <v>0</v>
      </c>
      <c r="G42" s="680"/>
      <c r="H42" s="680">
        <f>ROUND(SUM(H39:H41),1)</f>
        <v>0</v>
      </c>
      <c r="I42" s="680"/>
      <c r="J42" s="680">
        <f>ROUND(SUM(J39:J41),1)</f>
        <v>0</v>
      </c>
      <c r="K42" s="680"/>
      <c r="L42" s="680">
        <f>ROUND(SUM(L39:L41),1)</f>
        <v>0</v>
      </c>
      <c r="M42" s="680"/>
      <c r="N42" s="680">
        <f>ROUND(SUM(N39:N41),1)</f>
        <v>0</v>
      </c>
      <c r="O42" s="680"/>
      <c r="P42" s="680">
        <f>ROUND(SUM(P39:P41),1)</f>
        <v>0</v>
      </c>
      <c r="Q42" s="680"/>
      <c r="R42" s="680">
        <f>ROUND(SUM(R39:R41),1)</f>
        <v>0</v>
      </c>
      <c r="S42" s="680"/>
      <c r="T42" s="680">
        <f>ROUND(SUM(T39:T41),1)</f>
        <v>0</v>
      </c>
      <c r="U42" s="680"/>
      <c r="V42" s="680">
        <f>ROUND(SUM(V39:V41),1)</f>
        <v>0</v>
      </c>
      <c r="W42" s="680"/>
      <c r="X42" s="3624">
        <f>ROUND(SUM(X39:X41),1)</f>
        <v>0</v>
      </c>
      <c r="Y42" s="3624"/>
      <c r="Z42" s="3625"/>
      <c r="AA42" s="3624">
        <f>ROUND(SUM(AA39:AA41),1)</f>
        <v>2.6</v>
      </c>
      <c r="AB42" s="3626"/>
      <c r="AC42" s="3627"/>
      <c r="AD42" s="3624">
        <f>ROUND(SUM(AD39:AD41),1)</f>
        <v>1.8</v>
      </c>
      <c r="AE42" s="3635"/>
      <c r="AF42" s="2779"/>
      <c r="AG42" s="1921">
        <f>AA42-AD42</f>
        <v>0.8</v>
      </c>
      <c r="AH42" s="1932"/>
      <c r="AI42" s="1923">
        <f>ROUND(IF(AG42=0,0,AG42/ABS(AD42)),3)</f>
        <v>0.44400000000000001</v>
      </c>
    </row>
    <row r="43" spans="1:35" ht="16.5" customHeight="1">
      <c r="A43" s="339"/>
      <c r="B43" s="679"/>
      <c r="C43" s="428"/>
      <c r="D43" s="679"/>
      <c r="E43" s="428"/>
      <c r="F43" s="679"/>
      <c r="G43" s="428"/>
      <c r="H43" s="679"/>
      <c r="I43" s="428"/>
      <c r="J43" s="679"/>
      <c r="K43" s="428"/>
      <c r="L43" s="679"/>
      <c r="M43" s="428"/>
      <c r="N43" s="679"/>
      <c r="O43" s="428"/>
      <c r="P43" s="679"/>
      <c r="Q43" s="428"/>
      <c r="R43" s="679"/>
      <c r="S43" s="428"/>
      <c r="T43" s="679"/>
      <c r="U43" s="428"/>
      <c r="V43" s="679"/>
      <c r="W43" s="428"/>
      <c r="X43" s="679"/>
      <c r="Y43" s="428"/>
      <c r="Z43" s="677"/>
      <c r="AA43" s="679"/>
      <c r="AB43" s="678"/>
      <c r="AC43" s="433"/>
      <c r="AD43" s="679"/>
      <c r="AE43" s="355"/>
      <c r="AF43" s="1903"/>
      <c r="AG43" s="1916"/>
    </row>
    <row r="44" spans="1:35" ht="16.5" customHeight="1">
      <c r="A44" s="339"/>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677"/>
      <c r="AA44" s="428"/>
      <c r="AB44" s="678"/>
      <c r="AC44" s="433"/>
      <c r="AD44" s="428"/>
      <c r="AE44" s="355"/>
      <c r="AF44" s="1903"/>
      <c r="AG44" s="1916"/>
    </row>
    <row r="45" spans="1:35" ht="16.5" customHeight="1">
      <c r="A45" s="339"/>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677"/>
      <c r="AA45" s="428"/>
      <c r="AB45" s="678"/>
      <c r="AC45" s="433"/>
      <c r="AD45" s="428"/>
      <c r="AE45" s="355"/>
      <c r="AF45" s="1903"/>
    </row>
    <row r="46" spans="1:35" ht="16.5" customHeight="1">
      <c r="A46" s="443" t="s">
        <v>168</v>
      </c>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677"/>
      <c r="AA46" s="428"/>
      <c r="AB46" s="678"/>
      <c r="AC46" s="433"/>
      <c r="AD46" s="428"/>
      <c r="AE46" s="355"/>
      <c r="AF46" s="1903"/>
    </row>
    <row r="47" spans="1:35" ht="16.5" customHeight="1">
      <c r="A47" s="443" t="s">
        <v>230</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677"/>
      <c r="AA47" s="428"/>
      <c r="AB47" s="678"/>
      <c r="AC47" s="433"/>
      <c r="AD47" s="428"/>
      <c r="AE47" s="218"/>
      <c r="AF47" s="1900"/>
    </row>
    <row r="48" spans="1:35" s="408" customFormat="1" ht="16.5" customHeight="1">
      <c r="A48" s="443" t="s">
        <v>170</v>
      </c>
      <c r="B48" s="680">
        <f>ROUND(SUM(B34,B42),1)</f>
        <v>-31.1</v>
      </c>
      <c r="C48" s="680"/>
      <c r="D48" s="680">
        <f>ROUND(SUM(D34,D42),1)</f>
        <v>0</v>
      </c>
      <c r="E48" s="680"/>
      <c r="F48" s="680">
        <f>ROUND(SUM(F34,F42),1)</f>
        <v>0</v>
      </c>
      <c r="G48" s="680"/>
      <c r="H48" s="680">
        <f>ROUND(SUM(H34,H42),1)</f>
        <v>0</v>
      </c>
      <c r="I48" s="680"/>
      <c r="J48" s="680">
        <f>ROUND(SUM(J34,J42),1)</f>
        <v>0</v>
      </c>
      <c r="K48" s="680"/>
      <c r="L48" s="680">
        <f>ROUND(SUM(L34,L42),1)</f>
        <v>0</v>
      </c>
      <c r="M48" s="680"/>
      <c r="N48" s="680">
        <f>ROUND(SUM(N34,N42),1)</f>
        <v>0</v>
      </c>
      <c r="O48" s="680"/>
      <c r="P48" s="680">
        <f>ROUND(SUM(P34,P42),1)</f>
        <v>0</v>
      </c>
      <c r="Q48" s="680"/>
      <c r="R48" s="680">
        <f>ROUND(SUM(R34,R42),1)</f>
        <v>0</v>
      </c>
      <c r="S48" s="680"/>
      <c r="T48" s="680">
        <f>ROUND(SUM(T34,T42),1)</f>
        <v>0</v>
      </c>
      <c r="U48" s="680"/>
      <c r="V48" s="680">
        <f>ROUND(SUM(V34,V42),1)</f>
        <v>0</v>
      </c>
      <c r="W48" s="680"/>
      <c r="X48" s="680">
        <f>ROUND(SUM(X34,X42),1)</f>
        <v>0</v>
      </c>
      <c r="Y48" s="680"/>
      <c r="Z48" s="681"/>
      <c r="AA48" s="684">
        <f>ROUND(AA34+AA42,1)</f>
        <v>-31.1</v>
      </c>
      <c r="AB48" s="682"/>
      <c r="AC48" s="683"/>
      <c r="AD48" s="684">
        <f>ROUND(AD34+AD42,1)</f>
        <v>-60.9</v>
      </c>
      <c r="AE48" s="689"/>
      <c r="AF48" s="1900"/>
      <c r="AG48" s="1921">
        <f>ROUND(SUM(AG34+AG42),1)</f>
        <v>29.8</v>
      </c>
      <c r="AH48" s="1896"/>
      <c r="AI48" s="1923">
        <f>ROUND(IF(AG48=0,0,AG48/ABS(AD48)),3)</f>
        <v>0.48899999999999999</v>
      </c>
    </row>
    <row r="49" spans="1:35" ht="16.5" customHeight="1">
      <c r="A49" s="339"/>
      <c r="B49" s="685"/>
      <c r="C49" s="673"/>
      <c r="D49" s="685"/>
      <c r="E49" s="673"/>
      <c r="F49" s="685"/>
      <c r="G49" s="673"/>
      <c r="H49" s="685"/>
      <c r="I49" s="673"/>
      <c r="J49" s="685"/>
      <c r="K49" s="673"/>
      <c r="L49" s="685"/>
      <c r="M49" s="673"/>
      <c r="N49" s="685"/>
      <c r="O49" s="673"/>
      <c r="P49" s="685"/>
      <c r="Q49" s="673"/>
      <c r="R49" s="685"/>
      <c r="S49" s="673"/>
      <c r="T49" s="685"/>
      <c r="U49" s="673"/>
      <c r="V49" s="685"/>
      <c r="W49" s="673"/>
      <c r="X49" s="685"/>
      <c r="Y49" s="673"/>
      <c r="Z49" s="674"/>
      <c r="AA49" s="685"/>
      <c r="AB49" s="675"/>
      <c r="AC49" s="676"/>
      <c r="AD49" s="685"/>
      <c r="AF49" s="1900"/>
      <c r="AI49" s="1907"/>
    </row>
    <row r="50" spans="1:35" ht="16.5" customHeight="1" thickBot="1">
      <c r="A50" s="602" t="s">
        <v>143</v>
      </c>
      <c r="B50" s="669">
        <f>ROUND(SUM(B14,B48),1)</f>
        <v>-300.3</v>
      </c>
      <c r="C50" s="669"/>
      <c r="D50" s="669">
        <f>ROUND(SUM(D14,D48),1)</f>
        <v>0</v>
      </c>
      <c r="E50" s="669"/>
      <c r="F50" s="669">
        <f>ROUND(SUM(F14,F48),1)</f>
        <v>0</v>
      </c>
      <c r="G50" s="669"/>
      <c r="H50" s="669">
        <f>ROUND(SUM(H14,H48),1)</f>
        <v>0</v>
      </c>
      <c r="I50" s="669"/>
      <c r="J50" s="669">
        <f>ROUND(SUM(J14,J48),1)</f>
        <v>0</v>
      </c>
      <c r="K50" s="669"/>
      <c r="L50" s="669">
        <f>ROUND(SUM(L14,L48),1)</f>
        <v>0</v>
      </c>
      <c r="M50" s="669"/>
      <c r="N50" s="669">
        <f>ROUND(SUM(N14,N48),1)</f>
        <v>0</v>
      </c>
      <c r="O50" s="669"/>
      <c r="P50" s="669">
        <f>ROUND(SUM(P14,P48),1)</f>
        <v>0</v>
      </c>
      <c r="Q50" s="669"/>
      <c r="R50" s="686">
        <f>ROUND(SUM(R14,R48),1)</f>
        <v>0</v>
      </c>
      <c r="S50" s="669"/>
      <c r="T50" s="669">
        <f>ROUND(SUM(T14,T48),1)</f>
        <v>0</v>
      </c>
      <c r="U50" s="669"/>
      <c r="V50" s="669">
        <f>ROUND(SUM(V14,V48),1)</f>
        <v>0</v>
      </c>
      <c r="W50" s="669"/>
      <c r="X50" s="669">
        <f>ROUND(SUM(X14,X48),1)</f>
        <v>0</v>
      </c>
      <c r="Y50" s="669"/>
      <c r="Z50" s="670"/>
      <c r="AA50" s="669">
        <f>ROUND(SUM(AA14,AA48),1)</f>
        <v>-300.3</v>
      </c>
      <c r="AB50" s="671"/>
      <c r="AC50" s="672"/>
      <c r="AD50" s="669">
        <f>ROUND(SUM(AD14,AD48),1)</f>
        <v>-261.3</v>
      </c>
      <c r="AF50" s="1900"/>
      <c r="AG50" s="1933">
        <f>ROUND(SUM(AA50-AD50),1)</f>
        <v>-39</v>
      </c>
      <c r="AH50" s="1931"/>
      <c r="AI50" s="1934">
        <f>ROUND(IF(AG50=0,0,AG50/ABS(AD50)),3)</f>
        <v>-0.14899999999999999</v>
      </c>
    </row>
    <row r="51" spans="1:35" ht="16.5" customHeight="1" thickTop="1">
      <c r="A51" s="339"/>
      <c r="B51" s="687"/>
      <c r="C51" s="673"/>
      <c r="D51" s="687"/>
      <c r="E51" s="673"/>
      <c r="F51" s="687"/>
      <c r="G51" s="673"/>
      <c r="H51" s="687"/>
      <c r="I51" s="673"/>
      <c r="J51" s="687"/>
      <c r="K51" s="673"/>
      <c r="L51" s="687"/>
      <c r="M51" s="673"/>
      <c r="N51" s="687"/>
      <c r="O51" s="673"/>
      <c r="P51" s="687"/>
      <c r="Q51" s="673"/>
      <c r="R51" s="676"/>
      <c r="S51" s="673"/>
      <c r="T51" s="687"/>
      <c r="U51" s="673"/>
      <c r="V51" s="687"/>
      <c r="W51" s="673"/>
      <c r="X51" s="687"/>
      <c r="Y51" s="673"/>
      <c r="Z51" s="673"/>
      <c r="AA51" s="687"/>
      <c r="AB51" s="673"/>
      <c r="AC51" s="673"/>
      <c r="AD51" s="687"/>
    </row>
    <row r="53" spans="1:35" ht="16.5" customHeight="1">
      <c r="A53" s="688"/>
    </row>
    <row r="54" spans="1:35" ht="16.5" customHeight="1">
      <c r="A54" s="439"/>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1" firstPageNumber="35"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60" zoomScaleNormal="70" workbookViewId="0"/>
  </sheetViews>
  <sheetFormatPr defaultColWidth="8.88671875" defaultRowHeight="18"/>
  <cols>
    <col min="1" max="1" width="45.5546875" style="689" customWidth="1"/>
    <col min="2" max="2" width="11.33203125" style="689" customWidth="1"/>
    <col min="3" max="3" width="1.6640625" style="689" customWidth="1"/>
    <col min="4" max="4" width="8.6640625" style="689" customWidth="1"/>
    <col min="5" max="5" width="1.6640625" style="689" customWidth="1"/>
    <col min="6" max="6" width="8.6640625" style="689" customWidth="1"/>
    <col min="7" max="7" width="1.6640625" style="689" customWidth="1"/>
    <col min="8" max="8" width="8.6640625" style="689" customWidth="1"/>
    <col min="9" max="9" width="1.6640625" style="689" customWidth="1"/>
    <col min="10" max="10" width="10.6640625" style="689" customWidth="1"/>
    <col min="11" max="11" width="1.6640625" style="689" customWidth="1"/>
    <col min="12" max="12" width="14.33203125" style="689" customWidth="1"/>
    <col min="13" max="13" width="1.6640625" style="689" customWidth="1"/>
    <col min="14" max="14" width="12" style="689" bestFit="1" customWidth="1"/>
    <col min="15" max="15" width="1.6640625" style="689" customWidth="1"/>
    <col min="16" max="16" width="13.5546875" style="689" bestFit="1" customWidth="1"/>
    <col min="17" max="17" width="1.6640625" style="689" customWidth="1"/>
    <col min="18" max="18" width="13.5546875" style="689" bestFit="1" customWidth="1"/>
    <col min="19" max="19" width="1.6640625" style="689" customWidth="1"/>
    <col min="20" max="20" width="11" style="689" bestFit="1" customWidth="1"/>
    <col min="21" max="21" width="1.6640625" style="689" customWidth="1"/>
    <col min="22" max="22" width="12.77734375" style="689" bestFit="1" customWidth="1"/>
    <col min="23" max="23" width="1.6640625" style="689" customWidth="1"/>
    <col min="24" max="24" width="11" style="689" customWidth="1"/>
    <col min="25" max="26" width="1.6640625" style="689" customWidth="1"/>
    <col min="27" max="27" width="10.109375" style="689" customWidth="1"/>
    <col min="28" max="29" width="1.77734375" style="689" customWidth="1"/>
    <col min="30" max="30" width="10.109375" style="1468" customWidth="1"/>
    <col min="31" max="31" width="1.77734375" style="1906" customWidth="1"/>
    <col min="32" max="32" width="2.44140625" style="1906" customWidth="1"/>
    <col min="33" max="33" width="10.33203125" style="1907" bestFit="1" customWidth="1"/>
    <col min="34" max="34" width="1.6640625" style="1907" customWidth="1"/>
    <col min="35" max="35" width="11.109375" style="1906" customWidth="1"/>
    <col min="36" max="16384" width="8.88671875" style="689"/>
  </cols>
  <sheetData>
    <row r="1" spans="1:35">
      <c r="A1" s="1052" t="s">
        <v>1064</v>
      </c>
    </row>
    <row r="2" spans="1:35">
      <c r="A2" s="1454"/>
    </row>
    <row r="3" spans="1:35" ht="20.25" customHeight="1">
      <c r="A3" s="1463" t="s">
        <v>0</v>
      </c>
      <c r="B3" s="218"/>
      <c r="C3" s="218"/>
      <c r="D3" s="218"/>
      <c r="E3" s="218"/>
      <c r="F3" s="218"/>
      <c r="G3" s="218"/>
      <c r="H3" s="218"/>
      <c r="I3" s="218"/>
      <c r="J3" s="218"/>
      <c r="K3" s="216"/>
      <c r="L3" s="216"/>
      <c r="M3" s="218"/>
      <c r="N3" s="218"/>
      <c r="O3" s="218"/>
      <c r="P3" s="218"/>
      <c r="Q3" s="218"/>
      <c r="R3" s="218"/>
      <c r="S3" s="218"/>
      <c r="T3" s="218"/>
      <c r="U3" s="218"/>
      <c r="V3" s="218"/>
      <c r="W3" s="218"/>
      <c r="X3" s="218"/>
      <c r="Y3" s="218"/>
      <c r="Z3" s="218"/>
      <c r="AA3" s="218"/>
      <c r="AB3" s="218"/>
      <c r="AC3" s="218"/>
      <c r="AD3" s="339"/>
      <c r="AI3" s="1955" t="s">
        <v>228</v>
      </c>
    </row>
    <row r="4" spans="1:35" ht="20.25" customHeight="1">
      <c r="A4" s="1464" t="s">
        <v>227</v>
      </c>
      <c r="B4" s="218"/>
      <c r="C4" s="218"/>
      <c r="D4" s="218"/>
      <c r="E4" s="218"/>
      <c r="F4" s="218"/>
      <c r="G4" s="218"/>
      <c r="H4" s="216" t="s">
        <v>15</v>
      </c>
      <c r="I4" s="218"/>
      <c r="J4" s="218"/>
      <c r="K4" s="216"/>
      <c r="L4" s="216"/>
      <c r="M4" s="218"/>
      <c r="N4" s="218"/>
      <c r="O4" s="218"/>
      <c r="P4" s="218"/>
      <c r="Q4" s="218"/>
      <c r="R4" s="218"/>
      <c r="S4" s="218"/>
      <c r="T4" s="218"/>
      <c r="U4" s="218"/>
      <c r="V4" s="218"/>
      <c r="W4" s="218"/>
      <c r="X4" s="218" t="s">
        <v>15</v>
      </c>
      <c r="Y4" s="218"/>
      <c r="Z4" s="218"/>
      <c r="AA4" s="218"/>
      <c r="AB4" s="218"/>
      <c r="AC4" s="218"/>
      <c r="AD4" s="339"/>
    </row>
    <row r="5" spans="1:35" ht="20.25" customHeight="1">
      <c r="A5" s="1465" t="s">
        <v>125</v>
      </c>
      <c r="B5" s="218"/>
      <c r="C5" s="218"/>
      <c r="D5" s="218"/>
      <c r="E5" s="218"/>
      <c r="F5" s="218"/>
      <c r="G5" s="218"/>
      <c r="H5" s="218"/>
      <c r="I5" s="218"/>
      <c r="J5" s="218"/>
      <c r="K5" s="216"/>
      <c r="L5" s="216"/>
      <c r="M5" s="218"/>
      <c r="N5" s="218"/>
      <c r="O5" s="218"/>
      <c r="P5" s="218"/>
      <c r="Q5" s="218"/>
      <c r="R5" s="218"/>
      <c r="S5" s="218"/>
      <c r="T5" s="218"/>
      <c r="U5" s="218"/>
      <c r="V5" s="218"/>
      <c r="W5" s="218"/>
      <c r="X5" s="218"/>
      <c r="Y5" s="218"/>
      <c r="Z5" s="218"/>
      <c r="AB5" s="690"/>
      <c r="AC5" s="690"/>
      <c r="AE5" s="1937"/>
    </row>
    <row r="6" spans="1:35" ht="20.25" customHeight="1">
      <c r="A6" s="1465" t="str">
        <f>'Cashflow Governmental'!A6</f>
        <v>FISCAL YEAR 2018-2019</v>
      </c>
      <c r="B6" s="218"/>
      <c r="C6" s="218"/>
      <c r="D6" s="218"/>
      <c r="E6" s="218"/>
      <c r="F6" s="218"/>
      <c r="G6" s="218"/>
      <c r="H6" s="218"/>
      <c r="I6" s="218"/>
      <c r="J6" s="218"/>
      <c r="K6" s="216"/>
      <c r="L6" s="216"/>
      <c r="M6" s="218"/>
      <c r="N6" s="218"/>
      <c r="O6" s="218"/>
      <c r="P6" s="218"/>
      <c r="Q6" s="218"/>
      <c r="R6" s="218"/>
      <c r="S6" s="218"/>
      <c r="T6" s="218"/>
      <c r="U6" s="218"/>
      <c r="V6" s="218"/>
      <c r="W6" s="218"/>
      <c r="X6" s="218"/>
      <c r="Y6" s="218"/>
      <c r="Z6" s="218"/>
      <c r="AA6" s="218"/>
      <c r="AB6" s="218"/>
      <c r="AC6" s="218"/>
      <c r="AD6" s="339"/>
    </row>
    <row r="7" spans="1:35" ht="20.25" customHeight="1">
      <c r="A7" s="1463" t="s">
        <v>957</v>
      </c>
      <c r="B7" s="218"/>
      <c r="C7" s="218"/>
      <c r="D7" s="218"/>
      <c r="E7" s="218"/>
      <c r="F7" s="218"/>
      <c r="G7" s="218"/>
      <c r="H7" s="218"/>
      <c r="I7" s="218"/>
      <c r="J7" s="218"/>
      <c r="K7" s="216"/>
      <c r="L7" s="218"/>
      <c r="M7" s="218"/>
      <c r="N7" s="218"/>
      <c r="O7" s="218"/>
      <c r="P7" s="218"/>
      <c r="Q7" s="218"/>
      <c r="R7" s="218"/>
      <c r="S7" s="218"/>
      <c r="T7" s="218"/>
      <c r="U7" s="218"/>
      <c r="V7" s="218"/>
      <c r="W7" s="218"/>
      <c r="X7" s="218"/>
      <c r="Y7" s="218"/>
      <c r="Z7" s="218"/>
      <c r="AA7" s="218"/>
      <c r="AB7" s="218"/>
      <c r="AC7" s="218"/>
      <c r="AD7" s="339"/>
    </row>
    <row r="8" spans="1:35" s="691" customFormat="1" ht="18.95" customHeight="1">
      <c r="A8" s="602"/>
      <c r="B8" s="218"/>
      <c r="C8" s="218"/>
      <c r="D8" s="218"/>
      <c r="E8" s="218"/>
      <c r="F8" s="218"/>
      <c r="G8" s="218"/>
      <c r="H8" s="218"/>
      <c r="I8" s="218"/>
      <c r="J8" s="218"/>
      <c r="K8" s="218"/>
      <c r="L8" s="218"/>
      <c r="M8" s="218"/>
      <c r="N8" s="218"/>
      <c r="O8" s="218"/>
      <c r="P8" s="218"/>
      <c r="Q8" s="218"/>
      <c r="R8" s="218"/>
      <c r="S8" s="218"/>
      <c r="T8" s="218"/>
      <c r="U8" s="218"/>
      <c r="V8" s="218"/>
      <c r="W8" s="218"/>
      <c r="X8" s="218"/>
      <c r="Y8" s="218"/>
      <c r="Z8" s="339"/>
      <c r="AA8" s="339"/>
      <c r="AB8" s="339"/>
      <c r="AC8" s="339"/>
      <c r="AD8" s="339"/>
      <c r="AE8" s="1906"/>
      <c r="AF8" s="1906"/>
      <c r="AG8" s="1907"/>
      <c r="AH8" s="1907"/>
      <c r="AI8" s="1906"/>
    </row>
    <row r="9" spans="1:35" s="691" customFormat="1" ht="18.95" customHeight="1">
      <c r="A9" s="1212"/>
      <c r="B9" s="1212"/>
      <c r="C9" s="1212"/>
      <c r="D9" s="1212"/>
      <c r="E9" s="1212"/>
      <c r="F9" s="1212"/>
      <c r="G9" s="1212"/>
      <c r="H9" s="216"/>
      <c r="I9" s="216"/>
      <c r="J9" s="216"/>
      <c r="K9" s="1212"/>
      <c r="L9" s="1212"/>
      <c r="M9" s="1212"/>
      <c r="N9" s="1212"/>
      <c r="O9" s="1212"/>
      <c r="P9" s="1212"/>
      <c r="Q9" s="1212"/>
      <c r="R9" s="1212"/>
      <c r="S9" s="1212"/>
      <c r="T9" s="1212"/>
      <c r="U9" s="1212"/>
      <c r="V9" s="1212"/>
      <c r="W9" s="1212"/>
      <c r="X9" s="1212"/>
      <c r="Y9" s="1212"/>
      <c r="Z9" s="339"/>
      <c r="AA9" s="339"/>
      <c r="AB9" s="339"/>
      <c r="AC9" s="3762"/>
      <c r="AD9" s="3763"/>
      <c r="AE9" s="3763"/>
      <c r="AF9" s="3763"/>
      <c r="AG9" s="3763"/>
      <c r="AH9" s="3763"/>
      <c r="AI9" s="3763"/>
    </row>
    <row r="10" spans="1:35" s="691" customFormat="1" ht="18.95" customHeight="1">
      <c r="A10" s="339"/>
      <c r="B10" s="339"/>
      <c r="C10" s="339"/>
      <c r="D10" s="339"/>
      <c r="E10" s="339"/>
      <c r="F10" s="339"/>
      <c r="G10" s="339"/>
      <c r="H10" s="339"/>
      <c r="I10" s="339"/>
      <c r="J10" s="339"/>
      <c r="K10" s="339"/>
      <c r="L10" s="339"/>
      <c r="M10" s="339"/>
      <c r="N10" s="339"/>
      <c r="O10" s="339"/>
      <c r="P10" s="339"/>
      <c r="Q10" s="339"/>
      <c r="R10" s="339"/>
      <c r="S10" s="339"/>
      <c r="T10" s="339"/>
      <c r="U10" s="339"/>
      <c r="V10" s="3461"/>
      <c r="W10" s="1466"/>
      <c r="X10" s="1467"/>
      <c r="Y10" s="1468"/>
      <c r="Z10" s="3764" t="s">
        <v>1466</v>
      </c>
      <c r="AA10" s="3764"/>
      <c r="AB10" s="3764"/>
      <c r="AC10" s="3764"/>
      <c r="AD10" s="3764"/>
      <c r="AE10" s="3764"/>
      <c r="AF10" s="3764"/>
      <c r="AG10" s="3764"/>
      <c r="AH10" s="3764"/>
      <c r="AI10" s="3764"/>
    </row>
    <row r="11" spans="1:35" s="691" customFormat="1" ht="18.95" customHeight="1">
      <c r="A11" s="339"/>
      <c r="B11" s="1331" t="str">
        <f>'Cashflow Governmental'!C13</f>
        <v>2018</v>
      </c>
      <c r="C11" s="443"/>
      <c r="D11" s="443"/>
      <c r="E11" s="443"/>
      <c r="F11" s="443"/>
      <c r="G11" s="443"/>
      <c r="H11" s="443"/>
      <c r="I11" s="443"/>
      <c r="J11" s="443"/>
      <c r="K11" s="443"/>
      <c r="L11" s="443"/>
      <c r="M11" s="443"/>
      <c r="N11" s="443"/>
      <c r="O11" s="443"/>
      <c r="P11" s="443"/>
      <c r="Q11" s="443"/>
      <c r="R11" s="443"/>
      <c r="S11" s="443"/>
      <c r="T11" s="1331" t="str">
        <f>'Cashflow Governmental'!U13</f>
        <v>2019</v>
      </c>
      <c r="U11" s="443"/>
      <c r="V11" s="1333"/>
      <c r="W11" s="443"/>
      <c r="X11" s="443"/>
      <c r="Y11" s="443"/>
      <c r="Z11" s="1332"/>
      <c r="AA11" s="1332"/>
      <c r="AB11" s="1332"/>
      <c r="AC11" s="1332"/>
      <c r="AD11" s="1686"/>
      <c r="AE11" s="1938"/>
      <c r="AF11" s="1896"/>
      <c r="AG11" s="1910" t="s">
        <v>8</v>
      </c>
      <c r="AH11" s="1910"/>
      <c r="AI11" s="1911" t="s">
        <v>9</v>
      </c>
    </row>
    <row r="12" spans="1:35" s="691" customFormat="1" ht="18.95" customHeight="1">
      <c r="A12" s="339"/>
      <c r="B12" s="1469" t="s">
        <v>126</v>
      </c>
      <c r="C12" s="443"/>
      <c r="D12" s="1469" t="s">
        <v>127</v>
      </c>
      <c r="E12" s="443"/>
      <c r="F12" s="1469" t="s">
        <v>128</v>
      </c>
      <c r="G12" s="443"/>
      <c r="H12" s="1469" t="s">
        <v>129</v>
      </c>
      <c r="I12" s="443"/>
      <c r="J12" s="1470" t="s">
        <v>229</v>
      </c>
      <c r="K12" s="443"/>
      <c r="L12" s="1470" t="s">
        <v>145</v>
      </c>
      <c r="M12" s="443"/>
      <c r="N12" s="1470" t="s">
        <v>146</v>
      </c>
      <c r="O12" s="443"/>
      <c r="P12" s="1469" t="s">
        <v>133</v>
      </c>
      <c r="Q12" s="443"/>
      <c r="R12" s="1469" t="s">
        <v>134</v>
      </c>
      <c r="S12" s="443"/>
      <c r="T12" s="1470" t="s">
        <v>135</v>
      </c>
      <c r="U12" s="443"/>
      <c r="V12" s="1469" t="s">
        <v>136</v>
      </c>
      <c r="W12" s="443"/>
      <c r="X12" s="1470" t="s">
        <v>188</v>
      </c>
      <c r="Y12" s="443"/>
      <c r="Z12" s="443"/>
      <c r="AA12" s="1333" t="str">
        <f>'Cashflow Governmental'!AB14</f>
        <v>2018</v>
      </c>
      <c r="AB12" s="1333"/>
      <c r="AC12" s="1471"/>
      <c r="AD12" s="1469" t="str">
        <f>'Cashflow Governmental'!AE14</f>
        <v>2017</v>
      </c>
      <c r="AE12" s="1932"/>
      <c r="AF12" s="1932"/>
      <c r="AG12" s="1912" t="s">
        <v>12</v>
      </c>
      <c r="AH12" s="1913"/>
      <c r="AI12" s="1912" t="s">
        <v>13</v>
      </c>
    </row>
    <row r="13" spans="1:35" s="2763" customFormat="1" ht="18.95" customHeight="1">
      <c r="A13" s="2750" t="s">
        <v>138</v>
      </c>
      <c r="B13" s="2788">
        <v>-2</v>
      </c>
      <c r="C13" s="2752"/>
      <c r="D13" s="2788"/>
      <c r="E13" s="2752"/>
      <c r="F13" s="2788"/>
      <c r="G13" s="2789"/>
      <c r="H13" s="2788"/>
      <c r="I13" s="2789"/>
      <c r="J13" s="2788"/>
      <c r="K13" s="2789"/>
      <c r="L13" s="2788"/>
      <c r="M13" s="2789"/>
      <c r="N13" s="2788"/>
      <c r="O13" s="2789"/>
      <c r="P13" s="2788"/>
      <c r="Q13" s="2789"/>
      <c r="R13" s="2788"/>
      <c r="S13" s="2789"/>
      <c r="T13" s="2788"/>
      <c r="U13" s="2789"/>
      <c r="V13" s="2788"/>
      <c r="W13" s="2789"/>
      <c r="X13" s="2788"/>
      <c r="Y13" s="2754"/>
      <c r="Z13" s="2755"/>
      <c r="AA13" s="2788">
        <f>B13</f>
        <v>-2</v>
      </c>
      <c r="AB13" s="2754"/>
      <c r="AC13" s="2790"/>
      <c r="AD13" s="2788">
        <v>-1.9</v>
      </c>
      <c r="AE13" s="2758"/>
      <c r="AF13" s="2759"/>
      <c r="AG13" s="2760">
        <f>ROUND(SUM(AA13-AD13),1)</f>
        <v>-0.1</v>
      </c>
      <c r="AH13" s="2761"/>
      <c r="AI13" s="3476">
        <f>-ROUND(IF(AG13=0,0,AG13/(AD13)),3)</f>
        <v>-5.2999999999999999E-2</v>
      </c>
    </row>
    <row r="14" spans="1:35" s="691" customFormat="1" ht="18.95" customHeight="1">
      <c r="A14" s="339"/>
      <c r="B14" s="673"/>
      <c r="C14" s="673"/>
      <c r="D14" s="673"/>
      <c r="E14" s="673"/>
      <c r="F14" s="1474"/>
      <c r="G14" s="1474"/>
      <c r="H14" s="1475"/>
      <c r="I14" s="1475"/>
      <c r="J14" s="1475"/>
      <c r="K14" s="1474"/>
      <c r="L14" s="1475"/>
      <c r="M14" s="1475"/>
      <c r="N14" s="1475"/>
      <c r="O14" s="1475"/>
      <c r="P14" s="1475"/>
      <c r="Q14" s="1475"/>
      <c r="R14" s="1475"/>
      <c r="S14" s="1475"/>
      <c r="T14" s="1475"/>
      <c r="U14" s="1475"/>
      <c r="V14" s="1475"/>
      <c r="W14" s="1475"/>
      <c r="X14" s="1475"/>
      <c r="Y14" s="1476"/>
      <c r="Z14" s="1477"/>
      <c r="AA14" s="673"/>
      <c r="AB14" s="1476"/>
      <c r="AC14" s="1478"/>
      <c r="AD14" s="673"/>
      <c r="AE14" s="1939"/>
      <c r="AF14" s="1936"/>
      <c r="AG14" s="1916"/>
      <c r="AH14" s="1907"/>
      <c r="AI14" s="1906"/>
    </row>
    <row r="15" spans="1:35" s="691" customFormat="1" ht="18.95" customHeight="1">
      <c r="A15" s="443" t="s">
        <v>14</v>
      </c>
      <c r="B15" s="673"/>
      <c r="C15" s="673"/>
      <c r="D15" s="673"/>
      <c r="E15" s="673"/>
      <c r="F15" s="1474"/>
      <c r="G15" s="1474"/>
      <c r="H15" s="1475"/>
      <c r="I15" s="1475"/>
      <c r="J15" s="1475"/>
      <c r="K15" s="1474"/>
      <c r="L15" s="1475"/>
      <c r="M15" s="1475"/>
      <c r="N15" s="1475"/>
      <c r="O15" s="1475"/>
      <c r="P15" s="1475"/>
      <c r="Q15" s="1475"/>
      <c r="R15" s="1475"/>
      <c r="S15" s="1475"/>
      <c r="T15" s="1475"/>
      <c r="U15" s="1475"/>
      <c r="V15" s="1475"/>
      <c r="W15" s="1475"/>
      <c r="X15" s="1475"/>
      <c r="Y15" s="1476"/>
      <c r="Z15" s="1477"/>
      <c r="AA15" s="673"/>
      <c r="AB15" s="1476"/>
      <c r="AC15" s="1478"/>
      <c r="AD15" s="673"/>
      <c r="AE15" s="1939"/>
      <c r="AF15" s="1936"/>
      <c r="AG15" s="1916"/>
      <c r="AH15" s="1907"/>
      <c r="AI15" s="1906"/>
    </row>
    <row r="16" spans="1:35" s="691" customFormat="1" ht="18.95" customHeight="1">
      <c r="A16" s="1479" t="s">
        <v>181</v>
      </c>
      <c r="B16" s="3554">
        <f>$AA16</f>
        <v>5.2</v>
      </c>
      <c r="C16" s="428"/>
      <c r="D16" s="3065"/>
      <c r="E16" s="428"/>
      <c r="F16" s="3067"/>
      <c r="G16" s="428"/>
      <c r="H16" s="3065"/>
      <c r="I16" s="2766"/>
      <c r="J16" s="2765"/>
      <c r="K16" s="2617"/>
      <c r="L16" s="2765"/>
      <c r="M16" s="2767"/>
      <c r="N16" s="2765"/>
      <c r="O16" s="2767"/>
      <c r="P16" s="2765"/>
      <c r="Q16" s="2767"/>
      <c r="R16" s="2794"/>
      <c r="S16" s="2767"/>
      <c r="T16" s="2794"/>
      <c r="U16" s="2767"/>
      <c r="V16" s="2794"/>
      <c r="W16" s="2767"/>
      <c r="X16" s="2794"/>
      <c r="Y16" s="2768"/>
      <c r="Z16" s="2769"/>
      <c r="AA16" s="2765">
        <v>5.2</v>
      </c>
      <c r="AB16" s="2768"/>
      <c r="AC16" s="2767"/>
      <c r="AD16" s="2765">
        <v>5.6</v>
      </c>
      <c r="AE16" s="1940"/>
      <c r="AF16" s="1899"/>
      <c r="AG16" s="1920">
        <f>ROUND(SUM(AA16-AD16),1)</f>
        <v>-0.4</v>
      </c>
      <c r="AH16" s="1907"/>
      <c r="AI16" s="1926">
        <f>ROUND(IF(AG16=0,0,AG16/ABS(AD16)),3)</f>
        <v>-7.0999999999999994E-2</v>
      </c>
    </row>
    <row r="17" spans="1:35" s="691" customFormat="1" ht="24" customHeight="1">
      <c r="A17" s="443" t="s">
        <v>152</v>
      </c>
      <c r="B17" s="3531">
        <f>ROUND(SUM(B16),1)</f>
        <v>5.2</v>
      </c>
      <c r="C17" s="680"/>
      <c r="D17" s="1484">
        <f>ROUND(SUM(D16),1)</f>
        <v>0</v>
      </c>
      <c r="E17" s="680"/>
      <c r="F17" s="1484">
        <f>ROUND(SUM(F16),1)</f>
        <v>0</v>
      </c>
      <c r="G17" s="680"/>
      <c r="H17" s="1484">
        <f>ROUND(SUM(H16),1)</f>
        <v>0</v>
      </c>
      <c r="I17" s="1485"/>
      <c r="J17" s="1484">
        <f>ROUND(SUM(J16),1)</f>
        <v>0</v>
      </c>
      <c r="K17" s="680"/>
      <c r="L17" s="1484">
        <f>ROUND(SUM(L16),1)</f>
        <v>0</v>
      </c>
      <c r="M17" s="1486"/>
      <c r="N17" s="1484">
        <f>ROUND(SUM(N16),1)</f>
        <v>0</v>
      </c>
      <c r="O17" s="1486"/>
      <c r="P17" s="1484">
        <f>ROUND(SUM(P16),1)</f>
        <v>0</v>
      </c>
      <c r="Q17" s="1486"/>
      <c r="R17" s="3531">
        <f>ROUND(SUM(R16),1)</f>
        <v>0</v>
      </c>
      <c r="S17" s="1486"/>
      <c r="T17" s="1484">
        <f>ROUND(SUM(T16),1)</f>
        <v>0</v>
      </c>
      <c r="U17" s="1486"/>
      <c r="V17" s="1484">
        <f>ROUND(SUM(V16),1)</f>
        <v>0</v>
      </c>
      <c r="W17" s="1486"/>
      <c r="X17" s="1484">
        <f>ROUND(SUM(X16),1)</f>
        <v>0</v>
      </c>
      <c r="Y17" s="1487"/>
      <c r="Z17" s="1488"/>
      <c r="AA17" s="2809">
        <f>ROUND(SUM(AA16),1)</f>
        <v>5.2</v>
      </c>
      <c r="AB17" s="1487"/>
      <c r="AC17" s="1488"/>
      <c r="AD17" s="1493">
        <f>ROUND(SUM(AD16),1)</f>
        <v>5.6</v>
      </c>
      <c r="AE17" s="1941"/>
      <c r="AF17" s="1899"/>
      <c r="AG17" s="1948">
        <f>ROUND(SUM(AG16),1)</f>
        <v>-0.4</v>
      </c>
      <c r="AH17" s="1949"/>
      <c r="AI17" s="1950">
        <f>ROUND(IF(AG17=0,0,AG17/ABS(AD17)),3)</f>
        <v>-7.0999999999999994E-2</v>
      </c>
    </row>
    <row r="18" spans="1:35" s="691" customFormat="1" ht="18.95" customHeight="1">
      <c r="A18" s="339"/>
      <c r="B18" s="679"/>
      <c r="C18" s="428"/>
      <c r="D18" s="679" t="s">
        <v>15</v>
      </c>
      <c r="E18" s="428"/>
      <c r="F18" s="679"/>
      <c r="G18" s="428"/>
      <c r="H18" s="1489"/>
      <c r="I18" s="1481"/>
      <c r="J18" s="1489"/>
      <c r="K18" s="428"/>
      <c r="L18" s="1489"/>
      <c r="M18" s="1481"/>
      <c r="N18" s="1489"/>
      <c r="O18" s="1481"/>
      <c r="P18" s="1489"/>
      <c r="Q18" s="1481"/>
      <c r="R18" s="1489"/>
      <c r="S18" s="1481"/>
      <c r="T18" s="1489"/>
      <c r="U18" s="1481"/>
      <c r="V18" s="1489"/>
      <c r="W18" s="1481"/>
      <c r="X18" s="1489"/>
      <c r="Y18" s="1482"/>
      <c r="Z18" s="1483"/>
      <c r="AA18" s="679"/>
      <c r="AB18" s="1482"/>
      <c r="AC18" s="1480"/>
      <c r="AD18" s="679"/>
      <c r="AE18" s="1920"/>
      <c r="AF18" s="1899"/>
      <c r="AG18" s="1920"/>
      <c r="AH18" s="1907"/>
      <c r="AI18" s="1906"/>
    </row>
    <row r="19" spans="1:35" s="691" customFormat="1" ht="18.95" customHeight="1">
      <c r="A19" s="339"/>
      <c r="B19" s="428"/>
      <c r="C19" s="428"/>
      <c r="D19" s="428" t="s">
        <v>15</v>
      </c>
      <c r="E19" s="428"/>
      <c r="F19" s="428"/>
      <c r="G19" s="428"/>
      <c r="H19" s="1481"/>
      <c r="I19" s="1481"/>
      <c r="J19" s="1481"/>
      <c r="K19" s="428"/>
      <c r="L19" s="1481"/>
      <c r="M19" s="1481"/>
      <c r="N19" s="1481"/>
      <c r="O19" s="1481"/>
      <c r="P19" s="1481"/>
      <c r="Q19" s="1481"/>
      <c r="R19" s="1481"/>
      <c r="S19" s="1481"/>
      <c r="T19" s="1481"/>
      <c r="U19" s="1481"/>
      <c r="V19" s="1481"/>
      <c r="W19" s="1481"/>
      <c r="X19" s="1481"/>
      <c r="Y19" s="1482"/>
      <c r="Z19" s="1483"/>
      <c r="AA19" s="428"/>
      <c r="AB19" s="1482"/>
      <c r="AC19" s="1481"/>
      <c r="AD19" s="428"/>
      <c r="AE19" s="1942"/>
      <c r="AF19" s="1899"/>
      <c r="AG19" s="1920"/>
      <c r="AH19" s="1907"/>
      <c r="AI19" s="1906"/>
    </row>
    <row r="20" spans="1:35" s="691" customFormat="1" ht="18.95" customHeight="1">
      <c r="A20" s="443" t="s">
        <v>23</v>
      </c>
      <c r="B20" s="428"/>
      <c r="C20" s="428"/>
      <c r="D20" s="428" t="s">
        <v>15</v>
      </c>
      <c r="E20" s="428"/>
      <c r="F20" s="428"/>
      <c r="G20" s="428"/>
      <c r="H20" s="1481"/>
      <c r="I20" s="1481"/>
      <c r="J20" s="1481"/>
      <c r="K20" s="428"/>
      <c r="L20" s="1481"/>
      <c r="M20" s="1481"/>
      <c r="N20" s="1481"/>
      <c r="O20" s="1481"/>
      <c r="P20" s="1481"/>
      <c r="Q20" s="1481"/>
      <c r="R20" s="1481"/>
      <c r="S20" s="1481"/>
      <c r="T20" s="1481"/>
      <c r="U20" s="1481"/>
      <c r="V20" s="1481"/>
      <c r="W20" s="1481"/>
      <c r="X20" s="1481"/>
      <c r="Y20" s="1482"/>
      <c r="Z20" s="1483"/>
      <c r="AA20" s="428"/>
      <c r="AB20" s="1482"/>
      <c r="AC20" s="1481"/>
      <c r="AD20" s="428"/>
      <c r="AE20" s="1942"/>
      <c r="AF20" s="1899"/>
      <c r="AG20" s="1920"/>
      <c r="AH20" s="1907"/>
      <c r="AI20" s="1906"/>
    </row>
    <row r="21" spans="1:35" s="691" customFormat="1" ht="18.95" customHeight="1">
      <c r="A21" s="339" t="s">
        <v>154</v>
      </c>
      <c r="B21" s="429"/>
      <c r="C21" s="428"/>
      <c r="D21" s="428"/>
      <c r="E21" s="428"/>
      <c r="F21" s="428"/>
      <c r="G21" s="428"/>
      <c r="H21" s="1481"/>
      <c r="I21" s="1481"/>
      <c r="J21" s="1481"/>
      <c r="K21" s="428"/>
      <c r="L21" s="1481"/>
      <c r="M21" s="1481"/>
      <c r="N21" s="1481"/>
      <c r="O21" s="1481"/>
      <c r="P21" s="1481"/>
      <c r="Q21" s="1481"/>
      <c r="R21" s="1481"/>
      <c r="S21" s="1481"/>
      <c r="T21" s="1481"/>
      <c r="U21" s="1481"/>
      <c r="V21" s="1481"/>
      <c r="W21" s="1481"/>
      <c r="X21" s="1481"/>
      <c r="Y21" s="1482"/>
      <c r="Z21" s="1483"/>
      <c r="AA21" s="429"/>
      <c r="AB21" s="1490"/>
      <c r="AC21" s="1491"/>
      <c r="AD21" s="429"/>
      <c r="AE21" s="1943"/>
      <c r="AF21" s="1900"/>
      <c r="AG21" s="1920"/>
      <c r="AH21" s="1907"/>
      <c r="AI21" s="1906"/>
    </row>
    <row r="22" spans="1:35" s="2763" customFormat="1" ht="18.95" customHeight="1">
      <c r="A22" s="383" t="s">
        <v>222</v>
      </c>
      <c r="B22" s="1492">
        <f>$AA22</f>
        <v>5.2</v>
      </c>
      <c r="C22" s="428"/>
      <c r="D22" s="3065"/>
      <c r="E22" s="428"/>
      <c r="F22" s="3067"/>
      <c r="G22" s="428"/>
      <c r="H22" s="3065"/>
      <c r="I22" s="2767"/>
      <c r="J22" s="2794"/>
      <c r="K22" s="2617"/>
      <c r="L22" s="2794"/>
      <c r="M22" s="2767"/>
      <c r="N22" s="2794"/>
      <c r="O22" s="2767"/>
      <c r="P22" s="2794"/>
      <c r="Q22" s="2767"/>
      <c r="R22" s="2794"/>
      <c r="S22" s="2767"/>
      <c r="T22" s="2794"/>
      <c r="U22" s="2767"/>
      <c r="V22" s="2794"/>
      <c r="W22" s="2767"/>
      <c r="X22" s="2794"/>
      <c r="Y22" s="2768"/>
      <c r="Z22" s="2769"/>
      <c r="AA22" s="2794">
        <v>5.2</v>
      </c>
      <c r="AB22" s="2768"/>
      <c r="AC22" s="2767"/>
      <c r="AD22" s="2794">
        <v>3.6</v>
      </c>
      <c r="AE22" s="2778"/>
      <c r="AF22" s="2779"/>
      <c r="AG22" s="2795">
        <f>ROUND(SUM(AA22-AD22),1)</f>
        <v>1.6</v>
      </c>
      <c r="AH22" s="2761"/>
      <c r="AI22" s="2775">
        <f>ROUND(IF(AG22=0,0,AG22/ABS(AD22)),3)</f>
        <v>0.44400000000000001</v>
      </c>
    </row>
    <row r="23" spans="1:35" s="691" customFormat="1" ht="18.95" customHeight="1">
      <c r="A23" s="1479" t="s">
        <v>173</v>
      </c>
      <c r="B23" s="1492">
        <f t="shared" ref="B23:B24" si="0">$AA23</f>
        <v>0.8</v>
      </c>
      <c r="C23" s="428"/>
      <c r="D23" s="3065"/>
      <c r="E23" s="428"/>
      <c r="F23" s="3067"/>
      <c r="G23" s="428"/>
      <c r="H23" s="3065"/>
      <c r="I23" s="2767"/>
      <c r="J23" s="2794"/>
      <c r="K23" s="2617"/>
      <c r="L23" s="2794"/>
      <c r="M23" s="2767"/>
      <c r="N23" s="2794"/>
      <c r="O23" s="2767"/>
      <c r="P23" s="2794"/>
      <c r="Q23" s="2767"/>
      <c r="R23" s="2794"/>
      <c r="S23" s="2767"/>
      <c r="T23" s="2794"/>
      <c r="U23" s="2767"/>
      <c r="V23" s="2794"/>
      <c r="W23" s="2767"/>
      <c r="X23" s="2794"/>
      <c r="Y23" s="2768"/>
      <c r="Z23" s="2769"/>
      <c r="AA23" s="2794">
        <v>0.8</v>
      </c>
      <c r="AB23" s="2768"/>
      <c r="AC23" s="2767"/>
      <c r="AD23" s="2794">
        <v>0.4</v>
      </c>
      <c r="AE23" s="1943"/>
      <c r="AF23" s="1900"/>
      <c r="AG23" s="1920">
        <f>ROUND(SUM(AA23-AD23),1)</f>
        <v>0.4</v>
      </c>
      <c r="AH23" s="1925"/>
      <c r="AI23" s="1926">
        <f>ROUND(IF(AG23=0,0,AG23/ABS(AD23)),3)</f>
        <v>1</v>
      </c>
    </row>
    <row r="24" spans="1:35" s="2763" customFormat="1" ht="18.95" customHeight="1">
      <c r="A24" s="383" t="s">
        <v>157</v>
      </c>
      <c r="B24" s="1492">
        <f t="shared" si="0"/>
        <v>0</v>
      </c>
      <c r="C24" s="428"/>
      <c r="D24" s="3068"/>
      <c r="E24" s="428"/>
      <c r="F24" s="3067"/>
      <c r="G24" s="428"/>
      <c r="H24" s="3505"/>
      <c r="I24" s="2767"/>
      <c r="J24" s="2794"/>
      <c r="K24" s="2617"/>
      <c r="L24" s="2765"/>
      <c r="M24" s="2767"/>
      <c r="N24" s="2794"/>
      <c r="O24" s="2767"/>
      <c r="P24" s="2794"/>
      <c r="Q24" s="2767"/>
      <c r="R24" s="2765"/>
      <c r="S24" s="2767"/>
      <c r="T24" s="2794"/>
      <c r="U24" s="2767"/>
      <c r="V24" s="2794"/>
      <c r="W24" s="2767"/>
      <c r="X24" s="2794"/>
      <c r="Y24" s="2768"/>
      <c r="Z24" s="2769"/>
      <c r="AA24" s="2793">
        <v>0</v>
      </c>
      <c r="AB24" s="2768"/>
      <c r="AC24" s="2767"/>
      <c r="AD24" s="2793">
        <v>0</v>
      </c>
      <c r="AE24" s="2777"/>
      <c r="AF24" s="2779"/>
      <c r="AG24" s="2795">
        <f>ROUND(SUM(AA24-AD24),1)</f>
        <v>0</v>
      </c>
      <c r="AH24" s="2761"/>
      <c r="AI24" s="2775">
        <f>ROUND(IF(AD24=0,0,AG24/ABS(AD24)),3)</f>
        <v>0</v>
      </c>
    </row>
    <row r="25" spans="1:35" s="691" customFormat="1" ht="22.5" customHeight="1">
      <c r="A25" s="443" t="s">
        <v>158</v>
      </c>
      <c r="B25" s="3451">
        <f>ROUND(SUM(B22)+SUM(B23)+SUM(B24),1)</f>
        <v>6</v>
      </c>
      <c r="C25" s="680"/>
      <c r="D25" s="1493">
        <f>ROUND(SUM(D22)+SUM(D23)+SUM(D24),1)</f>
        <v>0</v>
      </c>
      <c r="E25" s="680"/>
      <c r="F25" s="3451">
        <f>ROUND(SUM(F22)+SUM(F23)+SUM(F24),1)</f>
        <v>0</v>
      </c>
      <c r="G25" s="1493"/>
      <c r="H25" s="1493">
        <f>ROUND(SUM(H22)+SUM(H23)+SUM(H24),1)</f>
        <v>0</v>
      </c>
      <c r="I25" s="1486"/>
      <c r="J25" s="3465">
        <f>ROUND(SUM(J22)+SUM(J23)+SUM(J24),1)</f>
        <v>0</v>
      </c>
      <c r="K25" s="680"/>
      <c r="L25" s="3465">
        <f>ROUND(SUM(L22)+SUM(L23)+SUM(L24),1)</f>
        <v>0</v>
      </c>
      <c r="M25" s="1486"/>
      <c r="N25" s="3465">
        <f>ROUND(SUM(N22)+SUM(N23)+SUM(N24),1)</f>
        <v>0</v>
      </c>
      <c r="O25" s="1486"/>
      <c r="P25" s="3465">
        <f>ROUND(SUM(P22)+SUM(P23)+SUM(P24),1)</f>
        <v>0</v>
      </c>
      <c r="Q25" s="1486"/>
      <c r="R25" s="3451">
        <f>ROUND(SUM(R22)+SUM(R23)+SUM(R24),1)</f>
        <v>0</v>
      </c>
      <c r="S25" s="1486"/>
      <c r="T25" s="3451">
        <f>ROUND(SUM(T22)+SUM(T23)+SUM(T24),1)</f>
        <v>0</v>
      </c>
      <c r="U25" s="1486"/>
      <c r="V25" s="3465">
        <f>ROUND(SUM(V22)+SUM(V23)+SUM(V24),1)</f>
        <v>0</v>
      </c>
      <c r="W25" s="1486"/>
      <c r="X25" s="3465">
        <f>ROUND(SUM(X22)+SUM(X23)+SUM(X24),1)</f>
        <v>0</v>
      </c>
      <c r="Y25" s="1487"/>
      <c r="Z25" s="1488"/>
      <c r="AA25" s="1511">
        <f>ROUND(SUM(AA22:AA24),1)</f>
        <v>6</v>
      </c>
      <c r="AB25" s="1487"/>
      <c r="AC25" s="1488"/>
      <c r="AD25" s="1511">
        <f>ROUND(SUM(AD22:AD24),1)</f>
        <v>4</v>
      </c>
      <c r="AE25" s="1944"/>
      <c r="AF25" s="1900"/>
      <c r="AG25" s="1948">
        <f>ROUND(SUM(AG22:AG24),1)</f>
        <v>2</v>
      </c>
      <c r="AH25" s="1922"/>
      <c r="AI25" s="1950">
        <f>ROUND(IF(AG25=0,0,AG25/ABS(AD25)),3)</f>
        <v>0.5</v>
      </c>
    </row>
    <row r="26" spans="1:35" s="691" customFormat="1" ht="18.95" customHeight="1">
      <c r="A26" s="339"/>
      <c r="B26" s="679"/>
      <c r="C26" s="428"/>
      <c r="D26" s="679" t="s">
        <v>15</v>
      </c>
      <c r="E26" s="428"/>
      <c r="F26" s="679"/>
      <c r="G26" s="428"/>
      <c r="H26" s="1489"/>
      <c r="I26" s="1481"/>
      <c r="J26" s="1489"/>
      <c r="K26" s="428"/>
      <c r="L26" s="1489"/>
      <c r="M26" s="1481"/>
      <c r="N26" s="1489"/>
      <c r="O26" s="1481"/>
      <c r="P26" s="1489"/>
      <c r="Q26" s="1481"/>
      <c r="R26" s="1489"/>
      <c r="S26" s="1481"/>
      <c r="T26" s="1489"/>
      <c r="U26" s="1481"/>
      <c r="V26" s="1489"/>
      <c r="W26" s="1481"/>
      <c r="X26" s="1489"/>
      <c r="Y26" s="1482"/>
      <c r="Z26" s="1483"/>
      <c r="AA26" s="679"/>
      <c r="AB26" s="1482"/>
      <c r="AC26" s="1480"/>
      <c r="AD26" s="679"/>
      <c r="AE26" s="1920"/>
      <c r="AF26" s="1899"/>
      <c r="AG26" s="1920"/>
      <c r="AH26" s="1907"/>
      <c r="AI26" s="1906"/>
    </row>
    <row r="27" spans="1:35" s="691" customFormat="1" ht="18.95" customHeight="1">
      <c r="A27" s="443" t="s">
        <v>159</v>
      </c>
      <c r="B27" s="428"/>
      <c r="C27" s="428"/>
      <c r="D27" s="433" t="s">
        <v>15</v>
      </c>
      <c r="E27" s="428"/>
      <c r="F27" s="428"/>
      <c r="G27" s="428"/>
      <c r="H27" s="1481"/>
      <c r="I27" s="1481"/>
      <c r="J27" s="1481"/>
      <c r="K27" s="428"/>
      <c r="L27" s="1481"/>
      <c r="M27" s="1481"/>
      <c r="N27" s="1481"/>
      <c r="O27" s="1481"/>
      <c r="P27" s="1481"/>
      <c r="Q27" s="1481"/>
      <c r="R27" s="1481"/>
      <c r="S27" s="1481"/>
      <c r="T27" s="1481"/>
      <c r="U27" s="1481"/>
      <c r="V27" s="1481"/>
      <c r="W27" s="1481"/>
      <c r="X27" s="1481"/>
      <c r="Y27" s="1482"/>
      <c r="Z27" s="1483"/>
      <c r="AA27" s="428"/>
      <c r="AB27" s="1482"/>
      <c r="AC27" s="1481"/>
      <c r="AD27" s="428"/>
      <c r="AE27" s="1942"/>
      <c r="AF27" s="1899"/>
      <c r="AG27" s="1920"/>
      <c r="AH27" s="1907"/>
      <c r="AI27" s="1906"/>
    </row>
    <row r="28" spans="1:35" s="691" customFormat="1" ht="18.75" customHeight="1">
      <c r="A28" s="443" t="s">
        <v>45</v>
      </c>
      <c r="B28" s="1494">
        <f>ROUND(B17-B25,1)</f>
        <v>-0.8</v>
      </c>
      <c r="C28" s="680"/>
      <c r="D28" s="1494">
        <f>ROUND(D17-D25,1)</f>
        <v>0</v>
      </c>
      <c r="E28" s="680"/>
      <c r="F28" s="1494">
        <f>ROUND(F17-F25,1)</f>
        <v>0</v>
      </c>
      <c r="G28" s="680"/>
      <c r="H28" s="1494">
        <f>ROUND(H17-H25,1)</f>
        <v>0</v>
      </c>
      <c r="I28" s="683"/>
      <c r="J28" s="1494">
        <f>ROUND(J17-J25,1)</f>
        <v>0</v>
      </c>
      <c r="K28" s="680"/>
      <c r="L28" s="1494">
        <f>ROUND(L17-L25,1)</f>
        <v>0</v>
      </c>
      <c r="M28" s="1486"/>
      <c r="N28" s="1494">
        <f>ROUND(N17-N25,1)</f>
        <v>0</v>
      </c>
      <c r="O28" s="1486"/>
      <c r="P28" s="1494">
        <f>ROUND(P17-P25,1)</f>
        <v>0</v>
      </c>
      <c r="Q28" s="1486"/>
      <c r="R28" s="1494">
        <f>ROUND(R17-R25,1)</f>
        <v>0</v>
      </c>
      <c r="S28" s="1486"/>
      <c r="T28" s="1494">
        <f>ROUND(T17-T25,1)</f>
        <v>0</v>
      </c>
      <c r="U28" s="1486"/>
      <c r="V28" s="1494">
        <f>ROUND(V17-V25,1)</f>
        <v>0</v>
      </c>
      <c r="W28" s="1486"/>
      <c r="X28" s="1494">
        <f>ROUND(X17-X25,1)</f>
        <v>0</v>
      </c>
      <c r="Y28" s="1487"/>
      <c r="Z28" s="1488"/>
      <c r="AA28" s="1495">
        <f>ROUND(AA17-AA25,1)</f>
        <v>-0.8</v>
      </c>
      <c r="AB28" s="1487"/>
      <c r="AC28" s="1496"/>
      <c r="AD28" s="1495">
        <f>ROUND(AD17-AD25,1)</f>
        <v>1.6</v>
      </c>
      <c r="AE28" s="1945"/>
      <c r="AF28" s="1900"/>
      <c r="AG28" s="2289">
        <f>ROUND(SUM(AA28-AD28),1)</f>
        <v>-2.4</v>
      </c>
      <c r="AH28" s="1907"/>
      <c r="AI28" s="2634">
        <f>ROUND(IF(AG28=0,0,AG28/ABS(AD28)),3)</f>
        <v>-1.5</v>
      </c>
    </row>
    <row r="29" spans="1:35" s="691" customFormat="1" ht="18.95" customHeight="1">
      <c r="A29" s="339"/>
      <c r="B29" s="433"/>
      <c r="C29" s="428"/>
      <c r="D29" s="433" t="s">
        <v>15</v>
      </c>
      <c r="E29" s="428"/>
      <c r="F29" s="433"/>
      <c r="G29" s="428"/>
      <c r="H29" s="1480"/>
      <c r="I29" s="1481"/>
      <c r="J29" s="1480"/>
      <c r="K29" s="428"/>
      <c r="L29" s="1480"/>
      <c r="M29" s="1481"/>
      <c r="N29" s="1489"/>
      <c r="O29" s="1481"/>
      <c r="P29" s="1480"/>
      <c r="Q29" s="1481"/>
      <c r="R29" s="1489"/>
      <c r="S29" s="1481"/>
      <c r="T29" s="1480"/>
      <c r="U29" s="1481"/>
      <c r="V29" s="1480"/>
      <c r="W29" s="1481"/>
      <c r="X29" s="1489"/>
      <c r="Y29" s="1482"/>
      <c r="Z29" s="1483"/>
      <c r="AA29" s="433"/>
      <c r="AB29" s="1482"/>
      <c r="AC29" s="1480"/>
      <c r="AD29" s="433"/>
      <c r="AE29" s="1920"/>
      <c r="AF29" s="1901"/>
      <c r="AG29" s="1920"/>
      <c r="AH29" s="1907"/>
      <c r="AI29" s="1906"/>
    </row>
    <row r="30" spans="1:35" s="691" customFormat="1" ht="18.95" customHeight="1">
      <c r="A30" s="443" t="s">
        <v>46</v>
      </c>
      <c r="B30" s="428"/>
      <c r="C30" s="428"/>
      <c r="D30" s="428"/>
      <c r="E30" s="428"/>
      <c r="F30" s="428"/>
      <c r="G30" s="428"/>
      <c r="H30" s="1481"/>
      <c r="I30" s="1481"/>
      <c r="J30" s="1481"/>
      <c r="K30" s="428"/>
      <c r="L30" s="1481"/>
      <c r="M30" s="1481"/>
      <c r="N30" s="1481"/>
      <c r="O30" s="1481"/>
      <c r="P30" s="1481"/>
      <c r="Q30" s="1481"/>
      <c r="R30" s="1481"/>
      <c r="S30" s="1481"/>
      <c r="T30" s="1481"/>
      <c r="U30" s="1481"/>
      <c r="V30" s="1481"/>
      <c r="W30" s="1481"/>
      <c r="X30" s="1481"/>
      <c r="Y30" s="1482"/>
      <c r="Z30" s="1483"/>
      <c r="AA30" s="428"/>
      <c r="AB30" s="1482"/>
      <c r="AC30" s="1481"/>
      <c r="AD30" s="428"/>
      <c r="AE30" s="1942"/>
      <c r="AF30" s="1901"/>
      <c r="AG30" s="1920"/>
      <c r="AH30" s="1907"/>
      <c r="AI30" s="1906"/>
    </row>
    <row r="31" spans="1:35" s="691" customFormat="1" ht="18.95" customHeight="1">
      <c r="A31" s="339" t="s">
        <v>184</v>
      </c>
      <c r="B31" s="1492">
        <f>$AA31</f>
        <v>0</v>
      </c>
      <c r="C31" s="428"/>
      <c r="D31" s="3065"/>
      <c r="E31" s="428"/>
      <c r="F31" s="3067"/>
      <c r="G31" s="428"/>
      <c r="H31" s="3065"/>
      <c r="I31" s="2767"/>
      <c r="J31" s="2794"/>
      <c r="K31" s="2617"/>
      <c r="L31" s="2794"/>
      <c r="M31" s="2767"/>
      <c r="N31" s="2794"/>
      <c r="O31" s="2767"/>
      <c r="P31" s="2794"/>
      <c r="Q31" s="2767"/>
      <c r="R31" s="2794"/>
      <c r="S31" s="2767"/>
      <c r="T31" s="2794"/>
      <c r="U31" s="2767"/>
      <c r="V31" s="2794"/>
      <c r="W31" s="2767"/>
      <c r="X31" s="2794"/>
      <c r="Y31" s="2768"/>
      <c r="Z31" s="2769"/>
      <c r="AA31" s="2794">
        <v>0</v>
      </c>
      <c r="AB31" s="2768"/>
      <c r="AC31" s="2767"/>
      <c r="AD31" s="2794">
        <v>0</v>
      </c>
      <c r="AE31" s="1943"/>
      <c r="AF31" s="1902"/>
      <c r="AG31" s="433">
        <f>ROUND(SUM(AA31-AD31),1)</f>
        <v>0</v>
      </c>
      <c r="AH31" s="1925"/>
      <c r="AI31" s="1926">
        <f>ROUND(IF(AG31=0,0,AG31/ABS(AD31)),3)</f>
        <v>0</v>
      </c>
    </row>
    <row r="32" spans="1:35" s="691" customFormat="1" ht="18.95" customHeight="1">
      <c r="A32" s="339" t="s">
        <v>185</v>
      </c>
      <c r="B32" s="1492">
        <f>$AA32</f>
        <v>0</v>
      </c>
      <c r="C32" s="428"/>
      <c r="D32" s="3065"/>
      <c r="E32" s="428"/>
      <c r="F32" s="3067"/>
      <c r="G32" s="428"/>
      <c r="H32" s="3065"/>
      <c r="I32" s="2767"/>
      <c r="J32" s="2794"/>
      <c r="K32" s="2617"/>
      <c r="L32" s="3513"/>
      <c r="M32" s="2767"/>
      <c r="N32" s="2794"/>
      <c r="O32" s="2767"/>
      <c r="P32" s="3513"/>
      <c r="Q32" s="2767"/>
      <c r="R32" s="3513"/>
      <c r="S32" s="2767"/>
      <c r="T32" s="2794"/>
      <c r="U32" s="2767"/>
      <c r="V32" s="2794"/>
      <c r="W32" s="2767"/>
      <c r="X32" s="2794"/>
      <c r="Y32" s="2768"/>
      <c r="Z32" s="2769"/>
      <c r="AA32" s="2793">
        <v>0</v>
      </c>
      <c r="AB32" s="2768"/>
      <c r="AC32" s="2767"/>
      <c r="AD32" s="2793">
        <v>0</v>
      </c>
      <c r="AE32" s="1943"/>
      <c r="AF32" s="1901"/>
      <c r="AG32" s="433">
        <f>ROUND(SUM(AA32-AD32),1)</f>
        <v>0</v>
      </c>
      <c r="AH32" s="1925"/>
      <c r="AI32" s="1926">
        <f>ROUND(IF(AG32=0,0,AG32/ABS(AD32)),3)</f>
        <v>0</v>
      </c>
    </row>
    <row r="33" spans="1:35" s="691" customFormat="1" ht="22.5" customHeight="1">
      <c r="A33" s="443" t="s">
        <v>211</v>
      </c>
      <c r="B33" s="1497">
        <f>ROUND(SUM(B31:B32),1)</f>
        <v>0</v>
      </c>
      <c r="C33" s="680"/>
      <c r="D33" s="1497">
        <f>ROUND(SUM(D31:D32),1)</f>
        <v>0</v>
      </c>
      <c r="E33" s="684"/>
      <c r="F33" s="1497">
        <f>ROUND(SUM(F31:F32),1)</f>
        <v>0</v>
      </c>
      <c r="G33" s="684"/>
      <c r="H33" s="1497">
        <f>ROUND(SUM(H31:H32),1)</f>
        <v>0</v>
      </c>
      <c r="I33" s="1498"/>
      <c r="J33" s="1497">
        <f>ROUND(SUM(J31:J32),1)</f>
        <v>0</v>
      </c>
      <c r="K33" s="684"/>
      <c r="L33" s="1497">
        <f>ROUND(SUM(L31:L32),1)</f>
        <v>0</v>
      </c>
      <c r="M33" s="1498"/>
      <c r="N33" s="1497">
        <f>ROUND(SUM(N31:N32),1)</f>
        <v>0</v>
      </c>
      <c r="O33" s="1498"/>
      <c r="P33" s="1497">
        <f>ROUND(SUM(P31:P32),1)</f>
        <v>0</v>
      </c>
      <c r="Q33" s="1498"/>
      <c r="R33" s="1497">
        <f>ROUND(SUM(R31:R32),1)</f>
        <v>0</v>
      </c>
      <c r="S33" s="1498"/>
      <c r="T33" s="1497">
        <f>ROUND(SUM(T31:T32),1)</f>
        <v>0</v>
      </c>
      <c r="U33" s="1498"/>
      <c r="V33" s="1497">
        <f>ROUND(SUM(V31:V32),1)</f>
        <v>0</v>
      </c>
      <c r="W33" s="1498"/>
      <c r="X33" s="1497">
        <f>ROUND(SUM(X31:X32),1)</f>
        <v>0</v>
      </c>
      <c r="Y33" s="1487"/>
      <c r="Z33" s="1488"/>
      <c r="AA33" s="1515">
        <f>ROUND(SUM(AA31:AA32),1)</f>
        <v>0</v>
      </c>
      <c r="AB33" s="1499"/>
      <c r="AC33" s="1500"/>
      <c r="AD33" s="1515">
        <f>ROUND(SUM(AD31:AD32),1)</f>
        <v>0</v>
      </c>
      <c r="AE33" s="1946"/>
      <c r="AF33" s="1902"/>
      <c r="AG33" s="1948">
        <f>ROUND(SUM(AG31-AG32),1)</f>
        <v>0</v>
      </c>
      <c r="AH33" s="1932"/>
      <c r="AI33" s="1950">
        <f>ROUND(IF(AG33=0,0,AG33/ABS(AD33)),3)</f>
        <v>0</v>
      </c>
    </row>
    <row r="34" spans="1:35" s="691" customFormat="1" ht="18.95" customHeight="1">
      <c r="A34" s="339"/>
      <c r="B34" s="679"/>
      <c r="C34" s="428"/>
      <c r="D34" s="679" t="s">
        <v>15</v>
      </c>
      <c r="E34" s="428"/>
      <c r="F34" s="679"/>
      <c r="G34" s="428"/>
      <c r="H34" s="1489"/>
      <c r="I34" s="1481"/>
      <c r="J34" s="1489"/>
      <c r="K34" s="428"/>
      <c r="L34" s="1489"/>
      <c r="M34" s="1481"/>
      <c r="N34" s="1489"/>
      <c r="O34" s="1481"/>
      <c r="P34" s="1489"/>
      <c r="Q34" s="1481"/>
      <c r="R34" s="1489"/>
      <c r="S34" s="1481"/>
      <c r="T34" s="1489"/>
      <c r="U34" s="1481"/>
      <c r="V34" s="1489"/>
      <c r="W34" s="1481"/>
      <c r="X34" s="1489"/>
      <c r="Y34" s="1482"/>
      <c r="Z34" s="1483"/>
      <c r="AA34" s="679"/>
      <c r="AB34" s="1482"/>
      <c r="AC34" s="1480"/>
      <c r="AD34" s="679"/>
      <c r="AE34" s="1920"/>
      <c r="AF34" s="1899"/>
      <c r="AG34" s="1920"/>
      <c r="AH34" s="1907"/>
      <c r="AI34" s="1906"/>
    </row>
    <row r="35" spans="1:35" s="691" customFormat="1" ht="18.95" customHeight="1">
      <c r="A35" s="443" t="s">
        <v>168</v>
      </c>
      <c r="B35" s="428"/>
      <c r="C35" s="428"/>
      <c r="D35" s="428" t="s">
        <v>15</v>
      </c>
      <c r="E35" s="428"/>
      <c r="F35" s="428"/>
      <c r="G35" s="428"/>
      <c r="H35" s="1481"/>
      <c r="I35" s="1481"/>
      <c r="J35" s="1481"/>
      <c r="K35" s="428"/>
      <c r="L35" s="1481"/>
      <c r="M35" s="1481"/>
      <c r="N35" s="1481"/>
      <c r="O35" s="1481"/>
      <c r="P35" s="1481"/>
      <c r="Q35" s="1481"/>
      <c r="R35" s="1481"/>
      <c r="S35" s="1481"/>
      <c r="T35" s="1481"/>
      <c r="U35" s="1481"/>
      <c r="V35" s="1481"/>
      <c r="W35" s="1481"/>
      <c r="X35" s="1481"/>
      <c r="Y35" s="1482"/>
      <c r="Z35" s="1483"/>
      <c r="AA35" s="428"/>
      <c r="AB35" s="1482"/>
      <c r="AC35" s="1481"/>
      <c r="AD35" s="428"/>
      <c r="AE35" s="1942"/>
      <c r="AF35" s="1899"/>
      <c r="AG35" s="1920"/>
      <c r="AH35" s="1907"/>
      <c r="AI35" s="1906"/>
    </row>
    <row r="36" spans="1:35" s="691" customFormat="1" ht="18.95" customHeight="1">
      <c r="A36" s="443" t="s">
        <v>230</v>
      </c>
      <c r="B36" s="428"/>
      <c r="C36" s="428"/>
      <c r="D36" s="428"/>
      <c r="E36" s="428"/>
      <c r="F36" s="428"/>
      <c r="G36" s="428"/>
      <c r="H36" s="1481"/>
      <c r="I36" s="1481"/>
      <c r="J36" s="1481"/>
      <c r="K36" s="428"/>
      <c r="L36" s="1481"/>
      <c r="M36" s="1481"/>
      <c r="N36" s="1481"/>
      <c r="O36" s="1481"/>
      <c r="P36" s="1481"/>
      <c r="Q36" s="1481"/>
      <c r="R36" s="1481"/>
      <c r="S36" s="1481"/>
      <c r="T36" s="1509"/>
      <c r="U36" s="1481"/>
      <c r="V36" s="1509"/>
      <c r="W36" s="1481"/>
      <c r="X36" s="1481"/>
      <c r="Y36" s="1482"/>
      <c r="Z36" s="1483"/>
      <c r="AA36" s="428"/>
      <c r="AB36" s="1482"/>
      <c r="AC36" s="1481"/>
      <c r="AD36" s="684"/>
      <c r="AE36" s="1947"/>
      <c r="AF36" s="1903"/>
      <c r="AG36" s="1920"/>
      <c r="AH36" s="1907"/>
      <c r="AI36" s="1906"/>
    </row>
    <row r="37" spans="1:35" s="693" customFormat="1" ht="18.95" customHeight="1">
      <c r="A37" s="443" t="s">
        <v>1034</v>
      </c>
      <c r="B37" s="1493">
        <f>ROUND(+B28+B33,1)</f>
        <v>-0.8</v>
      </c>
      <c r="C37" s="680"/>
      <c r="D37" s="1493">
        <f>ROUND(+D28+D33,1)</f>
        <v>0</v>
      </c>
      <c r="E37" s="684"/>
      <c r="F37" s="1493">
        <f>ROUND(+F28+F33,1)</f>
        <v>0</v>
      </c>
      <c r="G37" s="684"/>
      <c r="H37" s="1493">
        <f>ROUND(+H28+H33,1)</f>
        <v>0</v>
      </c>
      <c r="I37" s="1498"/>
      <c r="J37" s="1493">
        <f>ROUND(+J28+J33,1)</f>
        <v>0</v>
      </c>
      <c r="K37" s="684"/>
      <c r="L37" s="1493">
        <f>ROUND(+L28+L33,1)</f>
        <v>0</v>
      </c>
      <c r="M37" s="1501"/>
      <c r="N37" s="1493">
        <f>ROUND(+N28+N33,1)</f>
        <v>0</v>
      </c>
      <c r="O37" s="1501"/>
      <c r="P37" s="1493">
        <f>ROUND(+P28+P33,1)</f>
        <v>0</v>
      </c>
      <c r="Q37" s="1501"/>
      <c r="R37" s="1493">
        <f>ROUND(+R28+R33,1)</f>
        <v>0</v>
      </c>
      <c r="S37" s="1498"/>
      <c r="T37" s="1493">
        <f>ROUND(+T28+T33,1)</f>
        <v>0</v>
      </c>
      <c r="U37" s="1498"/>
      <c r="V37" s="1493">
        <f>ROUND(+V28+V33,1)</f>
        <v>0</v>
      </c>
      <c r="W37" s="1498"/>
      <c r="X37" s="1493">
        <f>ROUND(+X28+X33,1)</f>
        <v>0</v>
      </c>
      <c r="Y37" s="1487"/>
      <c r="Z37" s="1488"/>
      <c r="AA37" s="1501">
        <f>ROUND(AA28+AA33,1)</f>
        <v>-0.8</v>
      </c>
      <c r="AB37" s="683"/>
      <c r="AC37" s="1502"/>
      <c r="AD37" s="1501">
        <f>ROUND(AD28+AD33,1)</f>
        <v>1.6</v>
      </c>
      <c r="AE37" s="1945"/>
      <c r="AF37" s="1904"/>
      <c r="AG37" s="2289">
        <f>ROUND(SUM(AA37-AD37),1)</f>
        <v>-2.4</v>
      </c>
      <c r="AH37" s="1907"/>
      <c r="AI37" s="2633">
        <f>ROUND(IF(AG37=0,0,AG37/ABS(AD37)),3)</f>
        <v>-1.5</v>
      </c>
    </row>
    <row r="38" spans="1:35" s="691" customFormat="1" ht="22.5" customHeight="1" thickBot="1">
      <c r="A38" s="443" t="s">
        <v>143</v>
      </c>
      <c r="B38" s="1503">
        <f>ROUND(B13+B37,1)</f>
        <v>-2.8</v>
      </c>
      <c r="C38" s="669"/>
      <c r="D38" s="1503">
        <f>ROUND(D13+D37,1)</f>
        <v>0</v>
      </c>
      <c r="E38" s="669"/>
      <c r="F38" s="1503">
        <f>ROUND(F13+F37,1)</f>
        <v>0</v>
      </c>
      <c r="G38" s="669"/>
      <c r="H38" s="1503">
        <f>ROUND(H13+H37,1)</f>
        <v>0</v>
      </c>
      <c r="I38" s="1504"/>
      <c r="J38" s="1503">
        <f>ROUND(J13+J37,1)</f>
        <v>0</v>
      </c>
      <c r="K38" s="669"/>
      <c r="L38" s="1503">
        <f>ROUND(L13+L37,1)</f>
        <v>0</v>
      </c>
      <c r="M38" s="672"/>
      <c r="N38" s="1503">
        <f>ROUND(N13+N37,1)</f>
        <v>0</v>
      </c>
      <c r="O38" s="672"/>
      <c r="P38" s="1503">
        <f>ROUND(P13+P37,1)</f>
        <v>0</v>
      </c>
      <c r="Q38" s="672"/>
      <c r="R38" s="1503">
        <f>ROUND(R13+R37,1)</f>
        <v>0</v>
      </c>
      <c r="S38" s="1504"/>
      <c r="T38" s="1503">
        <f>ROUND(T13+T37,1)</f>
        <v>0</v>
      </c>
      <c r="U38" s="1504"/>
      <c r="V38" s="1503">
        <f>ROUND(V13+V37,1)</f>
        <v>0</v>
      </c>
      <c r="W38" s="1504"/>
      <c r="X38" s="1503">
        <f>ROUND(X13+X37,1)</f>
        <v>0</v>
      </c>
      <c r="Y38" s="1472"/>
      <c r="Z38" s="1473"/>
      <c r="AA38" s="1503">
        <f>ROUND(SUM(AA13,AA37),1)</f>
        <v>-2.8</v>
      </c>
      <c r="AB38" s="672"/>
      <c r="AC38" s="1505"/>
      <c r="AD38" s="1548">
        <f>ROUND(SUM(AD13,AD37),1)</f>
        <v>-0.3</v>
      </c>
      <c r="AE38" s="1914"/>
      <c r="AF38" s="1905"/>
      <c r="AG38" s="1952">
        <f>ROUND(SUM(AA38-AD38),1)</f>
        <v>-2.5</v>
      </c>
      <c r="AH38" s="1931"/>
      <c r="AI38" s="2370">
        <f>ROUND(IF(AG38=0,0,AG38/ABS(AD38)),3)</f>
        <v>-8.3330000000000002</v>
      </c>
    </row>
    <row r="39" spans="1:35" s="691" customFormat="1" ht="18.95" customHeight="1" thickTop="1">
      <c r="A39" s="339" t="s">
        <v>15</v>
      </c>
      <c r="B39" s="1506"/>
      <c r="C39" s="1507"/>
      <c r="D39" s="1506"/>
      <c r="E39" s="1507"/>
      <c r="F39" s="1506"/>
      <c r="G39" s="1507"/>
      <c r="H39" s="1506"/>
      <c r="I39" s="1507"/>
      <c r="J39" s="1506"/>
      <c r="K39" s="1507"/>
      <c r="L39" s="1506"/>
      <c r="M39" s="1507"/>
      <c r="N39" s="1506"/>
      <c r="O39" s="1507"/>
      <c r="P39" s="1506"/>
      <c r="Q39" s="1507"/>
      <c r="R39" s="1506"/>
      <c r="S39" s="1507"/>
      <c r="T39" s="1506"/>
      <c r="U39" s="1507"/>
      <c r="V39" s="1506"/>
      <c r="W39" s="1507"/>
      <c r="X39" s="1506"/>
      <c r="Y39" s="1507"/>
      <c r="Z39" s="1507"/>
      <c r="AA39" s="1506"/>
      <c r="AB39" s="1508"/>
      <c r="AC39" s="1508"/>
      <c r="AD39" s="1508"/>
      <c r="AE39" s="1929"/>
      <c r="AF39" s="1929"/>
      <c r="AG39" s="1916"/>
      <c r="AH39" s="1907"/>
      <c r="AI39" s="1906"/>
    </row>
    <row r="40" spans="1:35" s="691" customFormat="1" ht="18.95" customHeight="1">
      <c r="B40" s="1129"/>
      <c r="C40" s="1438"/>
      <c r="D40" s="1129"/>
      <c r="E40" s="1129"/>
      <c r="F40" s="1129"/>
      <c r="G40" s="1129"/>
      <c r="H40" s="1129"/>
      <c r="I40" s="1129"/>
      <c r="J40" s="1129"/>
      <c r="K40" s="1129"/>
      <c r="L40" s="1129"/>
      <c r="M40" s="1129"/>
      <c r="N40" s="1129"/>
      <c r="O40" s="1129"/>
      <c r="P40" s="1129"/>
      <c r="Q40" s="1129"/>
      <c r="R40" s="1129"/>
      <c r="S40" s="1129"/>
      <c r="T40" s="1129"/>
      <c r="U40" s="1129"/>
      <c r="V40" s="1129"/>
      <c r="W40" s="1129"/>
      <c r="X40" s="1129"/>
      <c r="Y40" s="1129"/>
      <c r="Z40" s="1508"/>
      <c r="AA40" s="1508"/>
      <c r="AB40" s="1508"/>
      <c r="AC40" s="1508"/>
      <c r="AD40" s="1508"/>
      <c r="AE40" s="1929"/>
      <c r="AF40" s="1929"/>
      <c r="AG40" s="1916"/>
      <c r="AH40" s="1907"/>
      <c r="AI40" s="1906"/>
    </row>
    <row r="41" spans="1:35" ht="15.75" customHeight="1">
      <c r="A41" s="695"/>
      <c r="B41" s="1438"/>
      <c r="C41" s="1438"/>
      <c r="D41" s="1438"/>
      <c r="E41" s="1438"/>
      <c r="F41" s="1438"/>
      <c r="G41" s="1438"/>
      <c r="H41" s="1438"/>
      <c r="I41" s="1438"/>
      <c r="J41" s="1438"/>
      <c r="K41" s="1438"/>
      <c r="L41" s="1438"/>
      <c r="M41" s="1438"/>
      <c r="N41" s="1438"/>
      <c r="O41" s="1438"/>
      <c r="P41" s="1438"/>
      <c r="Q41" s="1438"/>
      <c r="R41" s="1438"/>
      <c r="S41" s="1438"/>
      <c r="T41" s="1438"/>
      <c r="U41" s="1438"/>
      <c r="V41" s="1438"/>
      <c r="W41" s="1438"/>
      <c r="X41" s="1438"/>
      <c r="Y41" s="1438"/>
      <c r="Z41" s="1438"/>
      <c r="AA41" s="355"/>
      <c r="AB41" s="355"/>
      <c r="AC41" s="355"/>
      <c r="AD41" s="1507"/>
      <c r="AE41" s="1909"/>
      <c r="AF41" s="1909"/>
      <c r="AG41" s="1916"/>
    </row>
    <row r="42" spans="1:35">
      <c r="A42" s="691"/>
      <c r="B42" s="691"/>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row>
    <row r="43" spans="1:35" ht="13.5" customHeight="1">
      <c r="A43" s="1212"/>
      <c r="B43" s="1438"/>
      <c r="C43" s="1438"/>
      <c r="D43" s="1438"/>
      <c r="E43" s="1438"/>
      <c r="F43" s="1438"/>
      <c r="G43" s="1438"/>
      <c r="H43" s="1438"/>
      <c r="I43" s="1438"/>
      <c r="J43" s="1438"/>
      <c r="K43" s="1438"/>
      <c r="L43" s="1438"/>
      <c r="M43" s="1438"/>
      <c r="N43" s="1438"/>
      <c r="O43" s="1438"/>
      <c r="P43" s="1438"/>
      <c r="Q43" s="1438"/>
      <c r="R43" s="1438"/>
      <c r="S43" s="1438"/>
      <c r="T43" s="1438"/>
      <c r="U43" s="1438"/>
      <c r="V43" s="1438"/>
      <c r="W43" s="1438"/>
      <c r="X43" s="1438"/>
      <c r="Y43" s="1438"/>
      <c r="Z43" s="1438"/>
      <c r="AA43" s="355"/>
      <c r="AB43" s="355"/>
      <c r="AC43" s="355"/>
      <c r="AD43" s="1507"/>
      <c r="AE43" s="1909"/>
      <c r="AF43" s="1909"/>
      <c r="AG43" s="1916"/>
    </row>
    <row r="44" spans="1:35">
      <c r="A44" s="1212"/>
      <c r="B44" s="1438"/>
      <c r="C44" s="1438"/>
      <c r="D44" s="1438"/>
      <c r="E44" s="1438"/>
      <c r="F44" s="1438"/>
      <c r="G44" s="1438"/>
      <c r="H44" s="1438"/>
      <c r="I44" s="1438"/>
      <c r="J44" s="1438"/>
      <c r="K44" s="1438"/>
      <c r="L44" s="1438"/>
      <c r="M44" s="1438"/>
      <c r="N44" s="1438"/>
      <c r="O44" s="1438"/>
      <c r="P44" s="1438"/>
      <c r="Q44" s="1438"/>
      <c r="R44" s="1438"/>
      <c r="S44" s="1438"/>
      <c r="T44" s="1438"/>
      <c r="U44" s="1438"/>
      <c r="V44" s="1438"/>
      <c r="W44" s="1438"/>
      <c r="X44" s="1438"/>
      <c r="Y44" s="1438"/>
      <c r="Z44" s="1438"/>
      <c r="AA44" s="355"/>
      <c r="AB44" s="355"/>
      <c r="AC44" s="355"/>
      <c r="AD44" s="1507"/>
      <c r="AE44" s="1909"/>
      <c r="AF44" s="1909"/>
      <c r="AG44" s="1916"/>
    </row>
    <row r="45" spans="1:35">
      <c r="A45" s="1212"/>
      <c r="B45" s="1438"/>
      <c r="C45" s="1438"/>
      <c r="D45" s="1438"/>
      <c r="E45" s="1438"/>
      <c r="F45" s="1438"/>
      <c r="G45" s="1438"/>
      <c r="H45" s="1438"/>
      <c r="I45" s="1438"/>
      <c r="J45" s="1438"/>
      <c r="K45" s="1438"/>
      <c r="L45" s="1438"/>
      <c r="M45" s="1438"/>
      <c r="N45" s="1438"/>
      <c r="O45" s="1438"/>
      <c r="P45" s="1438"/>
      <c r="Q45" s="1438"/>
      <c r="R45" s="1438"/>
      <c r="S45" s="1438"/>
      <c r="T45" s="1438"/>
      <c r="U45" s="1438"/>
      <c r="V45" s="1438"/>
      <c r="W45" s="1438"/>
      <c r="X45" s="1438"/>
      <c r="Y45" s="1438"/>
      <c r="Z45" s="1438"/>
      <c r="AA45" s="355"/>
      <c r="AB45" s="355"/>
      <c r="AC45" s="355"/>
      <c r="AD45" s="1507"/>
      <c r="AE45" s="1909"/>
      <c r="AF45" s="1909"/>
    </row>
    <row r="46" spans="1:35">
      <c r="A46" s="1212"/>
      <c r="B46" s="1438"/>
      <c r="C46" s="1438"/>
      <c r="D46" s="1438"/>
      <c r="E46" s="1438"/>
      <c r="F46" s="1438"/>
      <c r="G46" s="1438"/>
      <c r="H46" s="1438"/>
      <c r="I46" s="1438"/>
      <c r="J46" s="1438"/>
      <c r="K46" s="1438"/>
      <c r="L46" s="1438"/>
      <c r="M46" s="1438"/>
      <c r="N46" s="1438"/>
      <c r="O46" s="1438"/>
      <c r="P46" s="1438"/>
      <c r="Q46" s="1438"/>
      <c r="R46" s="1438"/>
      <c r="S46" s="1438"/>
      <c r="T46" s="1438"/>
      <c r="U46" s="1438"/>
      <c r="V46" s="1438"/>
      <c r="W46" s="1438"/>
      <c r="X46" s="1438"/>
      <c r="Y46" s="1438"/>
      <c r="Z46" s="1438"/>
      <c r="AA46" s="355"/>
      <c r="AB46" s="355"/>
      <c r="AC46" s="355"/>
      <c r="AD46" s="1507"/>
      <c r="AE46" s="1909"/>
      <c r="AF46" s="1909"/>
    </row>
    <row r="47" spans="1:35">
      <c r="A47" s="1212"/>
      <c r="B47" s="1212"/>
      <c r="C47" s="1212"/>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c r="AA47" s="218"/>
      <c r="AB47" s="218"/>
      <c r="AC47" s="218"/>
      <c r="AD47" s="339"/>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2" firstPageNumber="36" fitToHeight="0" orientation="landscape" useFirstPageNumber="1" r:id="rId2"/>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60" zoomScaleNormal="60" workbookViewId="0"/>
  </sheetViews>
  <sheetFormatPr defaultColWidth="8.88671875" defaultRowHeight="12.75"/>
  <cols>
    <col min="1" max="1" width="46.88671875" style="689" customWidth="1"/>
    <col min="2" max="2" width="10" style="689" customWidth="1"/>
    <col min="3" max="3" width="1.6640625" style="689" customWidth="1"/>
    <col min="4" max="4" width="10.88671875" style="689" customWidth="1"/>
    <col min="5" max="5" width="1.6640625" style="689" customWidth="1"/>
    <col min="6" max="6" width="10" style="689" customWidth="1"/>
    <col min="7" max="7" width="1.6640625" style="689" customWidth="1"/>
    <col min="8" max="8" width="10" style="689" customWidth="1"/>
    <col min="9" max="9" width="1.6640625" style="689" customWidth="1"/>
    <col min="10" max="10" width="10.6640625" style="689" customWidth="1"/>
    <col min="11" max="11" width="1.6640625" style="689" customWidth="1"/>
    <col min="12" max="12" width="14.21875" style="689" customWidth="1"/>
    <col min="13" max="13" width="1.6640625" style="689" customWidth="1"/>
    <col min="14" max="14" width="11.88671875" style="689" bestFit="1" customWidth="1"/>
    <col min="15" max="15" width="1.6640625" style="689" customWidth="1"/>
    <col min="16" max="16" width="13.5546875" style="689" bestFit="1" customWidth="1"/>
    <col min="17" max="17" width="1.6640625" style="689" customWidth="1"/>
    <col min="18" max="18" width="13.5546875" style="689" bestFit="1" customWidth="1"/>
    <col min="19" max="19" width="1.6640625" style="689" customWidth="1"/>
    <col min="20" max="20" width="11" style="689" bestFit="1" customWidth="1"/>
    <col min="21" max="21" width="1.6640625" style="689" customWidth="1"/>
    <col min="22" max="22" width="12.6640625" style="689" bestFit="1" customWidth="1"/>
    <col min="23" max="23" width="1.6640625" style="689" customWidth="1"/>
    <col min="24" max="24" width="8.6640625" style="689" customWidth="1"/>
    <col min="25" max="26" width="1.6640625" style="689" customWidth="1"/>
    <col min="27" max="27" width="10.109375" style="689" customWidth="1"/>
    <col min="28" max="29" width="1.77734375" style="689" customWidth="1"/>
    <col min="30" max="30" width="10.109375" style="689" customWidth="1"/>
    <col min="31" max="31" width="1.77734375" style="689" customWidth="1"/>
    <col min="32" max="32" width="2.44140625" style="689" customWidth="1"/>
    <col min="33" max="33" width="10.33203125" style="697" bestFit="1" customWidth="1"/>
    <col min="34" max="34" width="1.6640625" style="697" customWidth="1"/>
    <col min="35" max="35" width="11.109375" style="689" customWidth="1"/>
    <col min="36" max="16384" width="8.88671875" style="689"/>
  </cols>
  <sheetData>
    <row r="1" spans="1:35" ht="15">
      <c r="A1" s="1052" t="s">
        <v>1064</v>
      </c>
    </row>
    <row r="2" spans="1:35" ht="15">
      <c r="A2" s="1454"/>
    </row>
    <row r="3" spans="1:35" ht="20.25" customHeight="1">
      <c r="A3" s="1463" t="s">
        <v>0</v>
      </c>
      <c r="B3" s="218"/>
      <c r="C3" s="218"/>
      <c r="D3" s="218"/>
      <c r="E3" s="218"/>
      <c r="F3" s="218"/>
      <c r="G3" s="218"/>
      <c r="H3" s="218"/>
      <c r="I3" s="218"/>
      <c r="J3" s="218"/>
      <c r="K3" s="216"/>
      <c r="L3" s="216"/>
      <c r="M3" s="218"/>
      <c r="N3" s="218"/>
      <c r="O3" s="218"/>
      <c r="P3" s="218"/>
      <c r="Q3" s="218"/>
      <c r="R3" s="218"/>
      <c r="S3" s="218"/>
      <c r="T3" s="218"/>
      <c r="U3" s="218"/>
      <c r="V3" s="218"/>
      <c r="W3" s="218"/>
      <c r="X3" s="218"/>
      <c r="Y3" s="218"/>
      <c r="Z3" s="218"/>
      <c r="AA3" s="218"/>
      <c r="AB3" s="218"/>
      <c r="AC3" s="218"/>
      <c r="AD3" s="218"/>
      <c r="AE3" s="218"/>
      <c r="AF3" s="218"/>
      <c r="AG3" s="696"/>
      <c r="AI3" s="1462" t="s">
        <v>232</v>
      </c>
    </row>
    <row r="4" spans="1:35" ht="20.25" customHeight="1">
      <c r="A4" s="1465" t="s">
        <v>231</v>
      </c>
      <c r="B4" s="218"/>
      <c r="C4" s="218"/>
      <c r="D4" s="218"/>
      <c r="E4" s="218"/>
      <c r="F4" s="218"/>
      <c r="G4" s="218"/>
      <c r="H4" s="216" t="s">
        <v>15</v>
      </c>
      <c r="I4" s="218"/>
      <c r="J4" s="218"/>
      <c r="K4" s="216"/>
      <c r="L4" s="216"/>
      <c r="M4" s="218"/>
      <c r="N4" s="218"/>
      <c r="O4" s="218"/>
      <c r="P4" s="218"/>
      <c r="Q4" s="218"/>
      <c r="R4" s="218"/>
      <c r="S4" s="218"/>
      <c r="T4" s="218"/>
      <c r="U4" s="218"/>
      <c r="V4" s="218"/>
      <c r="W4" s="218"/>
      <c r="X4" s="218" t="s">
        <v>15</v>
      </c>
      <c r="Y4" s="218"/>
      <c r="Z4" s="218"/>
      <c r="AA4" s="218"/>
      <c r="AB4" s="218"/>
      <c r="AC4" s="218"/>
      <c r="AD4" s="218"/>
      <c r="AE4" s="218"/>
      <c r="AF4" s="218"/>
      <c r="AG4" s="696"/>
    </row>
    <row r="5" spans="1:35" ht="20.25" customHeight="1">
      <c r="A5" s="1465" t="s">
        <v>125</v>
      </c>
      <c r="B5" s="218"/>
      <c r="C5" s="218"/>
      <c r="D5" s="218"/>
      <c r="E5" s="218"/>
      <c r="F5" s="218"/>
      <c r="G5" s="218"/>
      <c r="H5" s="218"/>
      <c r="I5" s="218"/>
      <c r="J5" s="218"/>
      <c r="K5" s="216"/>
      <c r="L5" s="216"/>
      <c r="M5" s="218"/>
      <c r="N5" s="218"/>
      <c r="O5" s="218"/>
      <c r="P5" s="218"/>
      <c r="Q5" s="218"/>
      <c r="R5" s="218"/>
      <c r="S5" s="218"/>
      <c r="T5" s="218"/>
      <c r="U5" s="218"/>
      <c r="V5" s="218"/>
      <c r="W5" s="218"/>
      <c r="X5" s="218"/>
      <c r="Y5" s="218"/>
      <c r="Z5" s="218"/>
      <c r="AB5" s="690"/>
      <c r="AC5" s="690"/>
      <c r="AE5" s="1462"/>
      <c r="AG5" s="696"/>
    </row>
    <row r="6" spans="1:35" ht="20.25" customHeight="1">
      <c r="A6" s="1465" t="str">
        <f>'Cashflow Governmental'!A6</f>
        <v>FISCAL YEAR 2018-2019</v>
      </c>
      <c r="B6" s="218"/>
      <c r="C6" s="218"/>
      <c r="D6" s="218"/>
      <c r="E6" s="218"/>
      <c r="F6" s="218"/>
      <c r="G6" s="218"/>
      <c r="H6" s="218"/>
      <c r="I6" s="218"/>
      <c r="J6" s="218"/>
      <c r="K6" s="216"/>
      <c r="L6" s="216"/>
      <c r="M6" s="218"/>
      <c r="N6" s="218"/>
      <c r="O6" s="218"/>
      <c r="P6" s="218"/>
      <c r="Q6" s="218"/>
      <c r="R6" s="218"/>
      <c r="S6" s="218"/>
      <c r="T6" s="218"/>
      <c r="U6" s="218"/>
      <c r="V6" s="218"/>
      <c r="W6" s="218"/>
      <c r="X6" s="218"/>
      <c r="Y6" s="218"/>
      <c r="Z6" s="218"/>
      <c r="AA6" s="218"/>
      <c r="AB6" s="218"/>
      <c r="AC6" s="218"/>
      <c r="AD6" s="218"/>
      <c r="AE6" s="218"/>
      <c r="AF6" s="218"/>
      <c r="AG6" s="696"/>
    </row>
    <row r="7" spans="1:35" ht="20.25" customHeight="1">
      <c r="A7" s="1463" t="s">
        <v>957</v>
      </c>
      <c r="B7" s="218"/>
      <c r="C7" s="218"/>
      <c r="D7" s="218"/>
      <c r="E7" s="218"/>
      <c r="F7" s="218"/>
      <c r="G7" s="218"/>
      <c r="H7" s="218"/>
      <c r="I7" s="218"/>
      <c r="J7" s="218"/>
      <c r="K7" s="216"/>
      <c r="L7" s="218"/>
      <c r="M7" s="218"/>
      <c r="N7" s="218"/>
      <c r="O7" s="218"/>
      <c r="P7" s="218"/>
      <c r="Q7" s="218"/>
      <c r="R7" s="218"/>
      <c r="S7" s="218"/>
      <c r="T7" s="218"/>
      <c r="U7" s="218"/>
      <c r="V7" s="218"/>
      <c r="W7" s="218"/>
      <c r="X7" s="218"/>
      <c r="Y7" s="218"/>
      <c r="Z7" s="218"/>
      <c r="AA7" s="1906"/>
      <c r="AB7" s="1906"/>
      <c r="AC7" s="1906"/>
      <c r="AD7" s="1906"/>
      <c r="AE7" s="1906"/>
      <c r="AF7" s="1906"/>
      <c r="AG7" s="1907"/>
      <c r="AH7" s="1907"/>
      <c r="AI7" s="1906"/>
    </row>
    <row r="8" spans="1:35" s="691" customFormat="1" ht="18.95" customHeight="1">
      <c r="A8" s="602"/>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1906"/>
      <c r="AB8" s="1906"/>
      <c r="AC8" s="1906"/>
      <c r="AD8" s="1906"/>
      <c r="AE8" s="1906"/>
      <c r="AF8" s="1906"/>
      <c r="AG8" s="1907"/>
      <c r="AH8" s="1907"/>
      <c r="AI8" s="1906"/>
    </row>
    <row r="9" spans="1:35" s="691" customFormat="1" ht="18.95" customHeight="1">
      <c r="A9" s="218"/>
      <c r="B9" s="218"/>
      <c r="C9" s="218"/>
      <c r="D9" s="218"/>
      <c r="E9" s="218"/>
      <c r="F9" s="218"/>
      <c r="G9" s="218"/>
      <c r="H9" s="216"/>
      <c r="I9" s="216"/>
      <c r="J9" s="216"/>
      <c r="K9" s="218"/>
      <c r="L9" s="218"/>
      <c r="M9" s="218"/>
      <c r="N9" s="218"/>
      <c r="O9" s="218"/>
      <c r="P9" s="218"/>
      <c r="Q9" s="218"/>
      <c r="R9" s="218"/>
      <c r="S9" s="218"/>
      <c r="T9" s="218"/>
      <c r="U9" s="218"/>
      <c r="V9" s="218"/>
      <c r="W9" s="218"/>
      <c r="X9" s="218"/>
      <c r="Y9" s="218"/>
      <c r="Z9" s="218"/>
      <c r="AA9" s="1906"/>
      <c r="AB9" s="1906"/>
      <c r="AC9" s="3765"/>
      <c r="AD9" s="3766"/>
      <c r="AE9" s="3766"/>
      <c r="AF9" s="3766"/>
      <c r="AG9" s="3766"/>
      <c r="AH9" s="3766"/>
      <c r="AI9" s="3766"/>
    </row>
    <row r="10" spans="1:35" s="691" customFormat="1" ht="18.95" customHeight="1">
      <c r="A10" s="339"/>
      <c r="B10" s="339"/>
      <c r="C10" s="339"/>
      <c r="D10" s="339"/>
      <c r="E10" s="339"/>
      <c r="F10" s="339"/>
      <c r="G10" s="339"/>
      <c r="H10" s="339"/>
      <c r="I10" s="339"/>
      <c r="J10" s="339"/>
      <c r="K10" s="339"/>
      <c r="L10" s="339"/>
      <c r="M10" s="339"/>
      <c r="N10" s="339"/>
      <c r="O10" s="339"/>
      <c r="P10" s="339"/>
      <c r="Q10" s="339"/>
      <c r="R10" s="339"/>
      <c r="S10" s="339"/>
      <c r="T10" s="339"/>
      <c r="U10" s="339"/>
      <c r="V10" s="3461"/>
      <c r="W10" s="1466"/>
      <c r="X10" s="1467"/>
      <c r="Y10" s="1468"/>
      <c r="AA10" s="3764" t="s">
        <v>1466</v>
      </c>
      <c r="AB10" s="3767"/>
      <c r="AC10" s="3767"/>
      <c r="AD10" s="3767"/>
      <c r="AE10" s="3767"/>
      <c r="AF10" s="3767"/>
      <c r="AG10" s="3767"/>
      <c r="AH10" s="3767"/>
      <c r="AI10" s="3767"/>
    </row>
    <row r="11" spans="1:35" s="691" customFormat="1" ht="18.95" customHeight="1">
      <c r="A11" s="339"/>
      <c r="B11" s="1331" t="str">
        <f>'Cashflow Governmental'!C13</f>
        <v>2018</v>
      </c>
      <c r="C11" s="443"/>
      <c r="D11" s="443"/>
      <c r="E11" s="443"/>
      <c r="F11" s="443"/>
      <c r="G11" s="443"/>
      <c r="H11" s="443"/>
      <c r="I11" s="443"/>
      <c r="J11" s="443"/>
      <c r="K11" s="443"/>
      <c r="L11" s="443"/>
      <c r="M11" s="443"/>
      <c r="N11" s="443"/>
      <c r="O11" s="443"/>
      <c r="P11" s="443"/>
      <c r="Q11" s="443"/>
      <c r="R11" s="443"/>
      <c r="S11" s="443"/>
      <c r="T11" s="1331" t="str">
        <f>'Cashflow Governmental'!U13</f>
        <v>2019</v>
      </c>
      <c r="U11" s="443"/>
      <c r="V11" s="1333"/>
      <c r="W11" s="443"/>
      <c r="X11" s="443"/>
      <c r="Y11" s="443"/>
      <c r="Z11" s="1332"/>
      <c r="AA11" s="1896"/>
      <c r="AB11" s="1896"/>
      <c r="AC11" s="1896"/>
      <c r="AD11" s="1938"/>
      <c r="AE11" s="1938"/>
      <c r="AF11" s="1896"/>
      <c r="AG11" s="1910" t="s">
        <v>8</v>
      </c>
      <c r="AH11" s="1910"/>
      <c r="AI11" s="1911" t="s">
        <v>9</v>
      </c>
    </row>
    <row r="12" spans="1:35" s="691" customFormat="1" ht="18.95" customHeight="1">
      <c r="A12" s="339"/>
      <c r="B12" s="1333" t="s">
        <v>126</v>
      </c>
      <c r="C12" s="443"/>
      <c r="D12" s="1469" t="s">
        <v>127</v>
      </c>
      <c r="E12" s="443"/>
      <c r="F12" s="1469" t="s">
        <v>128</v>
      </c>
      <c r="G12" s="443"/>
      <c r="H12" s="1469" t="s">
        <v>129</v>
      </c>
      <c r="I12" s="443"/>
      <c r="J12" s="1470" t="s">
        <v>229</v>
      </c>
      <c r="K12" s="443"/>
      <c r="L12" s="1470" t="s">
        <v>145</v>
      </c>
      <c r="M12" s="443"/>
      <c r="N12" s="1470" t="s">
        <v>146</v>
      </c>
      <c r="O12" s="443"/>
      <c r="P12" s="1469" t="s">
        <v>133</v>
      </c>
      <c r="Q12" s="443"/>
      <c r="R12" s="1469" t="s">
        <v>134</v>
      </c>
      <c r="S12" s="443"/>
      <c r="T12" s="1470" t="s">
        <v>135</v>
      </c>
      <c r="U12" s="443"/>
      <c r="V12" s="1469" t="s">
        <v>136</v>
      </c>
      <c r="W12" s="443"/>
      <c r="X12" s="1470" t="s">
        <v>188</v>
      </c>
      <c r="Y12" s="443"/>
      <c r="Z12" s="443"/>
      <c r="AA12" s="1956" t="str">
        <f>'Cashflow Governmental'!AB14</f>
        <v>2018</v>
      </c>
      <c r="AB12" s="1956"/>
      <c r="AC12" s="1932"/>
      <c r="AD12" s="1957" t="str">
        <f>'Cashflow Governmental'!AE14</f>
        <v>2017</v>
      </c>
      <c r="AE12" s="1932"/>
      <c r="AF12" s="1932"/>
      <c r="AG12" s="1912" t="s">
        <v>12</v>
      </c>
      <c r="AH12" s="1913"/>
      <c r="AI12" s="1912" t="s">
        <v>13</v>
      </c>
    </row>
    <row r="13" spans="1:35" s="2763" customFormat="1" ht="18.95" customHeight="1">
      <c r="A13" s="2750" t="s">
        <v>138</v>
      </c>
      <c r="B13" s="2751">
        <v>11.9</v>
      </c>
      <c r="C13" s="2752"/>
      <c r="D13" s="2751" t="s">
        <v>15</v>
      </c>
      <c r="E13" s="2752"/>
      <c r="F13" s="2751" t="s">
        <v>15</v>
      </c>
      <c r="G13" s="2752"/>
      <c r="H13" s="2751" t="s">
        <v>15</v>
      </c>
      <c r="I13" s="2753" t="s">
        <v>15</v>
      </c>
      <c r="J13" s="2751" t="s">
        <v>15</v>
      </c>
      <c r="K13" s="2752"/>
      <c r="L13" s="2751" t="s">
        <v>15</v>
      </c>
      <c r="M13" s="2753"/>
      <c r="N13" s="2751" t="s">
        <v>15</v>
      </c>
      <c r="O13" s="2753"/>
      <c r="P13" s="2751" t="s">
        <v>15</v>
      </c>
      <c r="Q13" s="2753"/>
      <c r="R13" s="2751" t="s">
        <v>15</v>
      </c>
      <c r="S13" s="2753"/>
      <c r="T13" s="2751" t="s">
        <v>15</v>
      </c>
      <c r="U13" s="2753"/>
      <c r="V13" s="2751" t="s">
        <v>15</v>
      </c>
      <c r="W13" s="2753"/>
      <c r="X13" s="2751" t="s">
        <v>15</v>
      </c>
      <c r="Y13" s="2754"/>
      <c r="Z13" s="2755"/>
      <c r="AA13" s="3517">
        <f>+B13</f>
        <v>11.9</v>
      </c>
      <c r="AB13" s="2756"/>
      <c r="AC13" s="2757"/>
      <c r="AD13" s="2751">
        <v>10.7</v>
      </c>
      <c r="AE13" s="2758"/>
      <c r="AF13" s="2759"/>
      <c r="AG13" s="2760">
        <f>ROUND(SUM(AA13-AD13),1)</f>
        <v>1.2</v>
      </c>
      <c r="AH13" s="2761"/>
      <c r="AI13" s="2762">
        <f>ROUND(IF(AG13=0,0,AG13/(AD13)),3)</f>
        <v>0.112</v>
      </c>
    </row>
    <row r="14" spans="1:35" s="691" customFormat="1" ht="18.95" customHeight="1">
      <c r="A14" s="339"/>
      <c r="B14" s="673"/>
      <c r="C14" s="673"/>
      <c r="D14" s="673"/>
      <c r="E14" s="673"/>
      <c r="F14" s="673"/>
      <c r="G14" s="673"/>
      <c r="H14" s="1478"/>
      <c r="I14" s="1478"/>
      <c r="J14" s="1478"/>
      <c r="K14" s="673"/>
      <c r="L14" s="1478"/>
      <c r="M14" s="1478"/>
      <c r="N14" s="1478"/>
      <c r="O14" s="1478"/>
      <c r="P14" s="1478"/>
      <c r="Q14" s="1478"/>
      <c r="R14" s="1478"/>
      <c r="S14" s="1478"/>
      <c r="T14" s="1478"/>
      <c r="U14" s="1478"/>
      <c r="V14" s="1478"/>
      <c r="W14" s="1478"/>
      <c r="X14" s="1478"/>
      <c r="Y14" s="1476"/>
      <c r="Z14" s="1477"/>
      <c r="AA14" s="1939"/>
      <c r="AB14" s="1958"/>
      <c r="AC14" s="1959"/>
      <c r="AD14" s="1939"/>
      <c r="AE14" s="1939"/>
      <c r="AF14" s="1936"/>
      <c r="AG14" s="1916"/>
      <c r="AH14" s="1907"/>
      <c r="AI14" s="1906"/>
    </row>
    <row r="15" spans="1:35" s="691" customFormat="1" ht="18.95" customHeight="1">
      <c r="A15" s="443" t="s">
        <v>14</v>
      </c>
      <c r="B15" s="673"/>
      <c r="C15" s="673"/>
      <c r="D15" s="673"/>
      <c r="E15" s="673"/>
      <c r="F15" s="673"/>
      <c r="G15" s="673"/>
      <c r="H15" s="1478"/>
      <c r="I15" s="1478"/>
      <c r="J15" s="1478"/>
      <c r="K15" s="673"/>
      <c r="L15" s="1478"/>
      <c r="M15" s="1478"/>
      <c r="N15" s="1478"/>
      <c r="O15" s="1478"/>
      <c r="P15" s="1478"/>
      <c r="Q15" s="1478"/>
      <c r="R15" s="1478"/>
      <c r="S15" s="1478"/>
      <c r="T15" s="1478"/>
      <c r="U15" s="1478"/>
      <c r="V15" s="1478"/>
      <c r="W15" s="1478"/>
      <c r="X15" s="1478"/>
      <c r="Y15" s="1476"/>
      <c r="Z15" s="1477"/>
      <c r="AA15" s="1939"/>
      <c r="AB15" s="1958"/>
      <c r="AC15" s="1959"/>
      <c r="AD15" s="1939"/>
      <c r="AE15" s="1939"/>
      <c r="AF15" s="1936"/>
      <c r="AG15" s="1916"/>
      <c r="AH15" s="1907"/>
      <c r="AI15" s="1906"/>
    </row>
    <row r="16" spans="1:35" s="2763" customFormat="1" ht="18.95" customHeight="1">
      <c r="A16" s="2764" t="s">
        <v>181</v>
      </c>
      <c r="B16" s="3066">
        <f>$AA16</f>
        <v>0.2</v>
      </c>
      <c r="C16" s="428"/>
      <c r="D16" s="3066"/>
      <c r="E16" s="428"/>
      <c r="F16" s="3069"/>
      <c r="G16" s="428"/>
      <c r="H16" s="3069"/>
      <c r="I16" s="2766"/>
      <c r="J16" s="2765"/>
      <c r="K16" s="2617"/>
      <c r="L16" s="2765"/>
      <c r="M16" s="2767"/>
      <c r="N16" s="2765"/>
      <c r="O16" s="2767"/>
      <c r="P16" s="2765"/>
      <c r="Q16" s="2767"/>
      <c r="R16" s="2765"/>
      <c r="S16" s="2767"/>
      <c r="T16" s="2765"/>
      <c r="U16" s="2767"/>
      <c r="V16" s="2794"/>
      <c r="W16" s="2767"/>
      <c r="X16" s="2794"/>
      <c r="Y16" s="2768"/>
      <c r="Z16" s="2769"/>
      <c r="AA16" s="2765">
        <v>0.2</v>
      </c>
      <c r="AB16" s="2770"/>
      <c r="AC16" s="2771"/>
      <c r="AD16" s="2765">
        <v>0.3</v>
      </c>
      <c r="AE16" s="2772"/>
      <c r="AF16" s="2773"/>
      <c r="AG16" s="2774">
        <f>ROUND(SUM(AA16-AD16),1)</f>
        <v>-0.1</v>
      </c>
      <c r="AH16" s="2761"/>
      <c r="AI16" s="3202">
        <f>ROUND(IF(AD16=0,-1,AG16/ABS(AD16)),3)</f>
        <v>-0.33300000000000002</v>
      </c>
    </row>
    <row r="17" spans="1:35" s="691" customFormat="1" ht="24" customHeight="1">
      <c r="A17" s="443" t="s">
        <v>152</v>
      </c>
      <c r="B17" s="1493">
        <f>ROUND(SUM(B16),1)</f>
        <v>0.2</v>
      </c>
      <c r="C17" s="680"/>
      <c r="D17" s="1493">
        <f>ROUND(SUM(D16),1)</f>
        <v>0</v>
      </c>
      <c r="E17" s="680"/>
      <c r="F17" s="1493">
        <f>ROUND(SUM(F16),1)</f>
        <v>0</v>
      </c>
      <c r="G17" s="680"/>
      <c r="H17" s="1493">
        <f>ROUND(SUM(H16),1)</f>
        <v>0</v>
      </c>
      <c r="I17" s="1485"/>
      <c r="J17" s="1493">
        <f>ROUND(SUM(J16),1)</f>
        <v>0</v>
      </c>
      <c r="K17" s="680"/>
      <c r="L17" s="1493">
        <f>ROUND(SUM(L16),1)</f>
        <v>0</v>
      </c>
      <c r="M17" s="1486"/>
      <c r="N17" s="1493">
        <f>ROUND(SUM(N16),1)</f>
        <v>0</v>
      </c>
      <c r="O17" s="1486"/>
      <c r="P17" s="1493">
        <f>ROUND(SUM(P16),1)</f>
        <v>0</v>
      </c>
      <c r="Q17" s="1486"/>
      <c r="R17" s="3450">
        <f>ROUND(SUM(R16),1)</f>
        <v>0</v>
      </c>
      <c r="S17" s="1486"/>
      <c r="T17" s="1493">
        <f>ROUND(SUM(T16),1)</f>
        <v>0</v>
      </c>
      <c r="U17" s="1486"/>
      <c r="V17" s="3465">
        <f>ROUND(SUM(V16),1)</f>
        <v>0</v>
      </c>
      <c r="W17" s="1486"/>
      <c r="X17" s="3451">
        <f>ROUND(SUM(X16),1)</f>
        <v>0</v>
      </c>
      <c r="Y17" s="1487"/>
      <c r="Z17" s="1488"/>
      <c r="AA17" s="1941">
        <f>ROUND(SUM(AA16),1)</f>
        <v>0.2</v>
      </c>
      <c r="AB17" s="1962"/>
      <c r="AC17" s="1963"/>
      <c r="AD17" s="1493">
        <f>ROUND(SUM(AD16),1)</f>
        <v>0.3</v>
      </c>
      <c r="AE17" s="1941"/>
      <c r="AF17" s="1899"/>
      <c r="AG17" s="1948">
        <f>ROUND(SUM(AG16),1)</f>
        <v>-0.1</v>
      </c>
      <c r="AH17" s="1949"/>
      <c r="AI17" s="3203">
        <f>ROUND(IF(AD17=0,-1,AG17/ABS(AD17)),3)</f>
        <v>-0.33300000000000002</v>
      </c>
    </row>
    <row r="18" spans="1:35" s="691" customFormat="1" ht="18.95" customHeight="1">
      <c r="A18" s="339"/>
      <c r="B18" s="679"/>
      <c r="C18" s="428"/>
      <c r="D18" s="679" t="s">
        <v>15</v>
      </c>
      <c r="E18" s="428"/>
      <c r="F18" s="679"/>
      <c r="G18" s="428"/>
      <c r="H18" s="1489"/>
      <c r="I18" s="1481"/>
      <c r="J18" s="1489"/>
      <c r="K18" s="428"/>
      <c r="L18" s="1489"/>
      <c r="M18" s="1481"/>
      <c r="N18" s="1489"/>
      <c r="O18" s="1481"/>
      <c r="P18" s="1489"/>
      <c r="Q18" s="1481"/>
      <c r="R18" s="1489"/>
      <c r="S18" s="1481"/>
      <c r="T18" s="1489"/>
      <c r="U18" s="1481"/>
      <c r="V18" s="1489"/>
      <c r="W18" s="1481"/>
      <c r="X18" s="1489"/>
      <c r="Y18" s="1482"/>
      <c r="Z18" s="1483"/>
      <c r="AA18" s="1964"/>
      <c r="AB18" s="1960"/>
      <c r="AC18" s="1965"/>
      <c r="AD18" s="1489"/>
      <c r="AE18" s="1920"/>
      <c r="AF18" s="1899"/>
      <c r="AG18" s="1920"/>
      <c r="AH18" s="1907"/>
      <c r="AI18" s="1906"/>
    </row>
    <row r="19" spans="1:35" s="691" customFormat="1" ht="18.95" customHeight="1">
      <c r="A19" s="339"/>
      <c r="B19" s="428"/>
      <c r="C19" s="428"/>
      <c r="D19" s="428" t="s">
        <v>15</v>
      </c>
      <c r="E19" s="428"/>
      <c r="F19" s="428"/>
      <c r="G19" s="428"/>
      <c r="H19" s="1481"/>
      <c r="I19" s="1481"/>
      <c r="J19" s="1481"/>
      <c r="K19" s="428"/>
      <c r="L19" s="1481"/>
      <c r="M19" s="1481"/>
      <c r="N19" s="1481"/>
      <c r="O19" s="1481"/>
      <c r="P19" s="1481"/>
      <c r="Q19" s="1481"/>
      <c r="R19" s="1481"/>
      <c r="S19" s="1481"/>
      <c r="T19" s="1481"/>
      <c r="U19" s="1481"/>
      <c r="V19" s="1481"/>
      <c r="W19" s="1481"/>
      <c r="X19" s="1481"/>
      <c r="Y19" s="1482"/>
      <c r="Z19" s="1483"/>
      <c r="AA19" s="1942"/>
      <c r="AB19" s="1960"/>
      <c r="AC19" s="1961"/>
      <c r="AD19" s="1481"/>
      <c r="AE19" s="1942"/>
      <c r="AF19" s="1899"/>
      <c r="AG19" s="1920"/>
      <c r="AH19" s="1907"/>
      <c r="AI19" s="1906"/>
    </row>
    <row r="20" spans="1:35" s="691" customFormat="1" ht="18.95" customHeight="1">
      <c r="A20" s="443" t="s">
        <v>23</v>
      </c>
      <c r="B20" s="428"/>
      <c r="C20" s="428"/>
      <c r="D20" s="428" t="s">
        <v>15</v>
      </c>
      <c r="E20" s="428"/>
      <c r="F20" s="428"/>
      <c r="G20" s="428"/>
      <c r="H20" s="1481"/>
      <c r="I20" s="1481"/>
      <c r="J20" s="1481"/>
      <c r="K20" s="428"/>
      <c r="L20" s="1481"/>
      <c r="M20" s="1481"/>
      <c r="N20" s="1481"/>
      <c r="O20" s="1481"/>
      <c r="P20" s="1481"/>
      <c r="Q20" s="1481"/>
      <c r="R20" s="1481"/>
      <c r="S20" s="1481"/>
      <c r="T20" s="1481"/>
      <c r="U20" s="1481"/>
      <c r="V20" s="1481"/>
      <c r="W20" s="1481"/>
      <c r="X20" s="1481"/>
      <c r="Y20" s="1482"/>
      <c r="Z20" s="1483"/>
      <c r="AA20" s="1942"/>
      <c r="AB20" s="1960"/>
      <c r="AC20" s="1961"/>
      <c r="AD20" s="1481"/>
      <c r="AE20" s="1942"/>
      <c r="AF20" s="1899"/>
      <c r="AG20" s="1920"/>
      <c r="AH20" s="1907"/>
      <c r="AI20" s="1906"/>
    </row>
    <row r="21" spans="1:35" s="691" customFormat="1" ht="18.95" customHeight="1">
      <c r="A21" s="339" t="s">
        <v>154</v>
      </c>
      <c r="B21" s="429"/>
      <c r="C21" s="428"/>
      <c r="D21" s="428"/>
      <c r="E21" s="428"/>
      <c r="F21" s="428"/>
      <c r="G21" s="428"/>
      <c r="H21" s="1481"/>
      <c r="I21" s="1481"/>
      <c r="J21" s="1481"/>
      <c r="K21" s="428"/>
      <c r="L21" s="1481"/>
      <c r="M21" s="1481"/>
      <c r="N21" s="1481"/>
      <c r="O21" s="1481"/>
      <c r="P21" s="1481"/>
      <c r="Q21" s="1481"/>
      <c r="R21" s="1481"/>
      <c r="S21" s="1481"/>
      <c r="T21" s="1481"/>
      <c r="U21" s="1481"/>
      <c r="V21" s="1481"/>
      <c r="W21" s="1481"/>
      <c r="X21" s="1481"/>
      <c r="Y21" s="1482"/>
      <c r="Z21" s="1483"/>
      <c r="AA21" s="2781"/>
      <c r="AB21" s="1966"/>
      <c r="AC21" s="1967"/>
      <c r="AD21" s="1481"/>
      <c r="AE21" s="1943"/>
      <c r="AF21" s="1900"/>
      <c r="AG21" s="1920"/>
      <c r="AH21" s="1907"/>
      <c r="AI21" s="1906"/>
    </row>
    <row r="22" spans="1:35" s="2763" customFormat="1" ht="18.95" customHeight="1">
      <c r="A22" s="383" t="s">
        <v>222</v>
      </c>
      <c r="B22" s="1492">
        <f>$AA22</f>
        <v>0</v>
      </c>
      <c r="C22" s="428"/>
      <c r="D22" s="1492"/>
      <c r="E22" s="428"/>
      <c r="F22" s="1510"/>
      <c r="G22" s="428"/>
      <c r="H22" s="651"/>
      <c r="I22" s="2767"/>
      <c r="J22" s="2794"/>
      <c r="K22" s="2617"/>
      <c r="L22" s="2794"/>
      <c r="M22" s="2767"/>
      <c r="N22" s="2794"/>
      <c r="O22" s="2767"/>
      <c r="P22" s="2794"/>
      <c r="Q22" s="2767"/>
      <c r="R22" s="2794"/>
      <c r="S22" s="2767"/>
      <c r="T22" s="2794"/>
      <c r="U22" s="2767"/>
      <c r="V22" s="2794"/>
      <c r="W22" s="2767"/>
      <c r="X22" s="2794"/>
      <c r="Y22" s="2768"/>
      <c r="Z22" s="2769"/>
      <c r="AA22" s="2776">
        <v>0</v>
      </c>
      <c r="AB22" s="2770"/>
      <c r="AC22" s="2771"/>
      <c r="AD22" s="2776">
        <v>0</v>
      </c>
      <c r="AE22" s="2778"/>
      <c r="AF22" s="2779"/>
      <c r="AG22" s="2774">
        <f>ROUND(SUM(AA22-AD22),1)</f>
        <v>0</v>
      </c>
      <c r="AH22" s="2761"/>
      <c r="AI22" s="2780">
        <f>ROUND(IF(AD22=0,0,AG22/ABS(AD22)),3)</f>
        <v>0</v>
      </c>
    </row>
    <row r="23" spans="1:35" s="2763" customFormat="1" ht="18.95" customHeight="1">
      <c r="A23" s="2764" t="s">
        <v>173</v>
      </c>
      <c r="B23" s="1492">
        <f t="shared" ref="B23:B24" si="0">$AA23</f>
        <v>0</v>
      </c>
      <c r="C23" s="428"/>
      <c r="D23" s="1492"/>
      <c r="E23" s="428"/>
      <c r="F23" s="1510"/>
      <c r="G23" s="428"/>
      <c r="H23" s="651"/>
      <c r="I23" s="2767"/>
      <c r="J23" s="2794"/>
      <c r="K23" s="2617"/>
      <c r="L23" s="2794"/>
      <c r="M23" s="2767"/>
      <c r="N23" s="2794"/>
      <c r="O23" s="2776"/>
      <c r="P23" s="2794"/>
      <c r="Q23" s="2767"/>
      <c r="R23" s="2794"/>
      <c r="S23" s="2767"/>
      <c r="T23" s="2794"/>
      <c r="U23" s="2767"/>
      <c r="V23" s="2794"/>
      <c r="W23" s="2767"/>
      <c r="X23" s="2794"/>
      <c r="Y23" s="2768"/>
      <c r="Z23" s="2769"/>
      <c r="AA23" s="2776">
        <v>0</v>
      </c>
      <c r="AB23" s="2770"/>
      <c r="AC23" s="2771"/>
      <c r="AD23" s="2776">
        <v>0</v>
      </c>
      <c r="AE23" s="2781"/>
      <c r="AF23" s="2779"/>
      <c r="AG23" s="2774">
        <f>ROUND(SUM(AA23-AD23),1)</f>
        <v>0</v>
      </c>
      <c r="AH23" s="2782"/>
      <c r="AI23" s="2775">
        <f>ROUND(IF(AG23=0,0,AG23/ABS(AD23)),3)</f>
        <v>0</v>
      </c>
    </row>
    <row r="24" spans="1:35" s="2763" customFormat="1" ht="18.95" customHeight="1">
      <c r="A24" s="383" t="s">
        <v>157</v>
      </c>
      <c r="B24" s="1492">
        <f t="shared" si="0"/>
        <v>0</v>
      </c>
      <c r="C24" s="428"/>
      <c r="D24" s="1492"/>
      <c r="E24" s="428"/>
      <c r="F24" s="1510"/>
      <c r="G24" s="428"/>
      <c r="H24" s="3506"/>
      <c r="I24" s="2767"/>
      <c r="J24" s="2794"/>
      <c r="K24" s="2617"/>
      <c r="L24" s="2765"/>
      <c r="M24" s="2767"/>
      <c r="N24" s="2765"/>
      <c r="O24" s="2767"/>
      <c r="P24" s="2765"/>
      <c r="Q24" s="2767"/>
      <c r="R24" s="2794"/>
      <c r="S24" s="2767"/>
      <c r="T24" s="2794"/>
      <c r="U24" s="2767"/>
      <c r="V24" s="2794"/>
      <c r="W24" s="2767"/>
      <c r="X24" s="2794"/>
      <c r="Y24" s="2768"/>
      <c r="Z24" s="2769"/>
      <c r="AA24" s="2783">
        <v>0</v>
      </c>
      <c r="AB24" s="2770"/>
      <c r="AC24" s="2771"/>
      <c r="AD24" s="2783">
        <v>0</v>
      </c>
      <c r="AE24" s="2777"/>
      <c r="AF24" s="2779"/>
      <c r="AG24" s="2774">
        <f>ROUND(SUM(AA24-AD24),1)</f>
        <v>0</v>
      </c>
      <c r="AH24" s="2761"/>
      <c r="AI24" s="3202">
        <f>ROUND(IF(AD24=0,0,AG24/ABS(AD24)),3)</f>
        <v>0</v>
      </c>
    </row>
    <row r="25" spans="1:35" s="691" customFormat="1" ht="22.5" customHeight="1">
      <c r="A25" s="443" t="s">
        <v>158</v>
      </c>
      <c r="B25" s="3466">
        <f>ROUND(SUM(B22:B24),1)</f>
        <v>0</v>
      </c>
      <c r="C25" s="680"/>
      <c r="D25" s="3499">
        <f>ROUND(SUM(D22:D24),1)</f>
        <v>0</v>
      </c>
      <c r="E25" s="680"/>
      <c r="F25" s="3499">
        <f>ROUND(SUM(F22:F24),1)</f>
        <v>0</v>
      </c>
      <c r="G25" s="680"/>
      <c r="H25" s="1511">
        <f>ROUND(SUM(H22:H24),1)</f>
        <v>0</v>
      </c>
      <c r="I25" s="1486"/>
      <c r="J25" s="3466">
        <f>ROUND(SUM(J22:J24),1)</f>
        <v>0</v>
      </c>
      <c r="K25" s="680"/>
      <c r="L25" s="3466">
        <f>ROUND(SUM(L22:L24),1)</f>
        <v>0</v>
      </c>
      <c r="M25" s="1486"/>
      <c r="N25" s="3286">
        <f>ROUND(SUM(N22:N24),1)</f>
        <v>0</v>
      </c>
      <c r="O25" s="1498"/>
      <c r="P25" s="1511">
        <f>ROUND(SUM(P22:P24),1)</f>
        <v>0</v>
      </c>
      <c r="Q25" s="1486"/>
      <c r="R25" s="3466">
        <f>ROUND(SUM(R22:R24),1)</f>
        <v>0</v>
      </c>
      <c r="S25" s="1486"/>
      <c r="T25" s="3499">
        <f>ROUND(SUM(T22:T24),1)</f>
        <v>0</v>
      </c>
      <c r="U25" s="1498"/>
      <c r="V25" s="3466">
        <f>ROUND(SUM(V22:V24),1)</f>
        <v>0</v>
      </c>
      <c r="W25" s="1498"/>
      <c r="X25" s="3466">
        <f>ROUND(SUM(X22:X24),1)</f>
        <v>0</v>
      </c>
      <c r="Y25" s="1487"/>
      <c r="Z25" s="1488"/>
      <c r="AA25" s="1944">
        <f>ROUND(SUM(AA22:AA24),1)</f>
        <v>0</v>
      </c>
      <c r="AB25" s="1962"/>
      <c r="AC25" s="1963"/>
      <c r="AD25" s="1511">
        <f>ROUND(SUM(AD22:AD24),1)</f>
        <v>0</v>
      </c>
      <c r="AE25" s="1944"/>
      <c r="AF25" s="1900"/>
      <c r="AG25" s="1948">
        <f>ROUND(SUM(AG22:AG24),1)</f>
        <v>0</v>
      </c>
      <c r="AH25" s="1922"/>
      <c r="AI25" s="1950">
        <f>ROUND(IF(AD25=0,0,AG25/ABS(AD25)),3)</f>
        <v>0</v>
      </c>
    </row>
    <row r="26" spans="1:35" s="691" customFormat="1" ht="18.95" customHeight="1">
      <c r="A26" s="339"/>
      <c r="B26" s="679"/>
      <c r="C26" s="428"/>
      <c r="D26" s="679" t="s">
        <v>15</v>
      </c>
      <c r="E26" s="428"/>
      <c r="F26" s="679"/>
      <c r="G26" s="428"/>
      <c r="H26" s="1489"/>
      <c r="I26" s="1481"/>
      <c r="J26" s="1489"/>
      <c r="K26" s="428"/>
      <c r="L26" s="1489"/>
      <c r="M26" s="1481"/>
      <c r="N26" s="1489"/>
      <c r="O26" s="1481"/>
      <c r="P26" s="1489"/>
      <c r="Q26" s="1481"/>
      <c r="R26" s="1489"/>
      <c r="S26" s="1481"/>
      <c r="T26" s="1489"/>
      <c r="U26" s="1481"/>
      <c r="V26" s="1489"/>
      <c r="W26" s="1481"/>
      <c r="X26" s="1489"/>
      <c r="Y26" s="1482"/>
      <c r="Z26" s="1483"/>
      <c r="AA26" s="1964"/>
      <c r="AB26" s="1960"/>
      <c r="AC26" s="1965"/>
      <c r="AD26" s="1489"/>
      <c r="AE26" s="1920"/>
      <c r="AF26" s="1899"/>
      <c r="AG26" s="1920"/>
      <c r="AH26" s="1907"/>
      <c r="AI26" s="1906"/>
    </row>
    <row r="27" spans="1:35" s="691" customFormat="1" ht="18.95" customHeight="1">
      <c r="A27" s="443" t="s">
        <v>159</v>
      </c>
      <c r="B27" s="428"/>
      <c r="C27" s="428"/>
      <c r="D27" s="433" t="s">
        <v>15</v>
      </c>
      <c r="E27" s="428"/>
      <c r="F27" s="428"/>
      <c r="G27" s="428"/>
      <c r="H27" s="1481"/>
      <c r="I27" s="1481"/>
      <c r="J27" s="1481"/>
      <c r="K27" s="428"/>
      <c r="L27" s="1481"/>
      <c r="M27" s="1481"/>
      <c r="N27" s="1481"/>
      <c r="O27" s="1481"/>
      <c r="P27" s="1481"/>
      <c r="Q27" s="1481"/>
      <c r="R27" s="1481"/>
      <c r="S27" s="1481"/>
      <c r="T27" s="1481"/>
      <c r="U27" s="1481"/>
      <c r="V27" s="1481"/>
      <c r="W27" s="1481"/>
      <c r="X27" s="1481"/>
      <c r="Y27" s="1482"/>
      <c r="Z27" s="1483"/>
      <c r="AA27" s="1942"/>
      <c r="AB27" s="1960"/>
      <c r="AC27" s="1961"/>
      <c r="AD27" s="1481"/>
      <c r="AE27" s="1942"/>
      <c r="AF27" s="1899"/>
      <c r="AG27" s="1920"/>
      <c r="AH27" s="1907"/>
      <c r="AI27" s="1907"/>
    </row>
    <row r="28" spans="1:35" s="691" customFormat="1" ht="18.75" customHeight="1">
      <c r="A28" s="443" t="s">
        <v>45</v>
      </c>
      <c r="B28" s="1495">
        <f>ROUND(B17-B25,1)</f>
        <v>0.2</v>
      </c>
      <c r="C28" s="680"/>
      <c r="D28" s="1495">
        <f>ROUND(D17-D25,1)</f>
        <v>0</v>
      </c>
      <c r="E28" s="1512"/>
      <c r="F28" s="1495">
        <f>ROUND(F17-F25,1)</f>
        <v>0</v>
      </c>
      <c r="G28" s="1512"/>
      <c r="H28" s="1495">
        <f>ROUND(H17-H25,1)</f>
        <v>0</v>
      </c>
      <c r="I28" s="1513"/>
      <c r="J28" s="1495">
        <f>ROUND(J17-J25,1)</f>
        <v>0</v>
      </c>
      <c r="K28" s="1512"/>
      <c r="L28" s="1495">
        <f>ROUND(L17-L25,1)</f>
        <v>0</v>
      </c>
      <c r="M28" s="1514"/>
      <c r="N28" s="1495">
        <f>ROUND(N17-N25,1)</f>
        <v>0</v>
      </c>
      <c r="O28" s="1514"/>
      <c r="P28" s="1495">
        <f>ROUND(P17-P25,1)</f>
        <v>0</v>
      </c>
      <c r="Q28" s="1514"/>
      <c r="R28" s="1495">
        <f>ROUND(R17-R25,1)</f>
        <v>0</v>
      </c>
      <c r="S28" s="1514"/>
      <c r="T28" s="1495">
        <f>ROUND(T17-T25,1)</f>
        <v>0</v>
      </c>
      <c r="U28" s="1514"/>
      <c r="V28" s="1495">
        <f>ROUND(V17-V25,1)</f>
        <v>0</v>
      </c>
      <c r="W28" s="1514"/>
      <c r="X28" s="1495">
        <f>ROUND(X17-X25,1)</f>
        <v>0</v>
      </c>
      <c r="Y28" s="1487"/>
      <c r="Z28" s="1488"/>
      <c r="AA28" s="1968">
        <f>ROUND(AA17-AA25,1)</f>
        <v>0.2</v>
      </c>
      <c r="AB28" s="1962"/>
      <c r="AC28" s="1969"/>
      <c r="AD28" s="1495">
        <f>ROUND(AD17-AD25,1)</f>
        <v>0.3</v>
      </c>
      <c r="AE28" s="1945"/>
      <c r="AF28" s="1900"/>
      <c r="AG28" s="1921">
        <f>ROUND(SUM(AG17-AG25),1)</f>
        <v>-0.1</v>
      </c>
      <c r="AH28" s="1922"/>
      <c r="AI28" s="3475">
        <f>ROUND(IF(AD28=0,-1,AG28/ABS(AD28)),3)</f>
        <v>-0.33300000000000002</v>
      </c>
    </row>
    <row r="29" spans="1:35" s="691" customFormat="1" ht="18.95" customHeight="1">
      <c r="A29" s="339"/>
      <c r="B29" s="433"/>
      <c r="C29" s="428"/>
      <c r="D29" s="433" t="s">
        <v>15</v>
      </c>
      <c r="E29" s="428"/>
      <c r="F29" s="433"/>
      <c r="G29" s="428"/>
      <c r="H29" s="1480"/>
      <c r="I29" s="1481"/>
      <c r="J29" s="1480"/>
      <c r="K29" s="428"/>
      <c r="L29" s="1480"/>
      <c r="M29" s="1481"/>
      <c r="N29" s="1489"/>
      <c r="O29" s="1481"/>
      <c r="P29" s="1480"/>
      <c r="Q29" s="1481"/>
      <c r="R29" s="1480"/>
      <c r="S29" s="1481"/>
      <c r="T29" s="1480"/>
      <c r="U29" s="1481"/>
      <c r="V29" s="1480"/>
      <c r="W29" s="1481"/>
      <c r="X29" s="1489"/>
      <c r="Y29" s="1482"/>
      <c r="Z29" s="1483"/>
      <c r="AA29" s="1920"/>
      <c r="AB29" s="1960"/>
      <c r="AC29" s="1965"/>
      <c r="AD29" s="1480"/>
      <c r="AE29" s="1920"/>
      <c r="AF29" s="1901"/>
      <c r="AG29" s="1920"/>
      <c r="AH29" s="1907"/>
      <c r="AI29" s="1906"/>
    </row>
    <row r="30" spans="1:35" s="691" customFormat="1" ht="18.95" customHeight="1">
      <c r="A30" s="443" t="s">
        <v>46</v>
      </c>
      <c r="B30" s="428"/>
      <c r="C30" s="428"/>
      <c r="D30" s="428"/>
      <c r="E30" s="428"/>
      <c r="F30" s="428"/>
      <c r="G30" s="428"/>
      <c r="H30" s="1481"/>
      <c r="I30" s="1481"/>
      <c r="J30" s="1481"/>
      <c r="K30" s="428"/>
      <c r="L30" s="1481"/>
      <c r="M30" s="1481"/>
      <c r="N30" s="1481"/>
      <c r="O30" s="1481"/>
      <c r="P30" s="1481"/>
      <c r="Q30" s="1481"/>
      <c r="R30" s="1481"/>
      <c r="S30" s="1481"/>
      <c r="T30" s="1481"/>
      <c r="U30" s="1481"/>
      <c r="V30" s="1481"/>
      <c r="W30" s="1481"/>
      <c r="X30" s="1481"/>
      <c r="Y30" s="1482"/>
      <c r="Z30" s="1483"/>
      <c r="AA30" s="1942"/>
      <c r="AB30" s="1960"/>
      <c r="AC30" s="1961"/>
      <c r="AD30" s="1481"/>
      <c r="AE30" s="1942"/>
      <c r="AF30" s="1901"/>
      <c r="AG30" s="1920"/>
      <c r="AH30" s="1907"/>
      <c r="AI30" s="1906"/>
    </row>
    <row r="31" spans="1:35" s="2763" customFormat="1" ht="18.95" customHeight="1">
      <c r="A31" s="383" t="s">
        <v>184</v>
      </c>
      <c r="B31" s="1492">
        <f>$AA31</f>
        <v>0</v>
      </c>
      <c r="C31" s="428"/>
      <c r="D31" s="1492"/>
      <c r="E31" s="428"/>
      <c r="F31" s="1510"/>
      <c r="G31" s="428"/>
      <c r="H31" s="1510"/>
      <c r="I31" s="2767"/>
      <c r="J31" s="2794"/>
      <c r="K31" s="2617"/>
      <c r="L31" s="2794"/>
      <c r="M31" s="2767"/>
      <c r="N31" s="2794"/>
      <c r="O31" s="2767"/>
      <c r="P31" s="2794"/>
      <c r="Q31" s="2767"/>
      <c r="R31" s="2794"/>
      <c r="S31" s="2767"/>
      <c r="T31" s="2794"/>
      <c r="U31" s="2767"/>
      <c r="V31" s="2794"/>
      <c r="W31" s="2767"/>
      <c r="X31" s="2794"/>
      <c r="Y31" s="2768"/>
      <c r="Z31" s="2769"/>
      <c r="AA31" s="2776">
        <v>0</v>
      </c>
      <c r="AB31" s="2770"/>
      <c r="AC31" s="2771"/>
      <c r="AD31" s="2776">
        <v>0</v>
      </c>
      <c r="AE31" s="2781"/>
      <c r="AF31" s="2784"/>
      <c r="AG31" s="2774">
        <f>ROUND(SUM(AA31-AD31),1)</f>
        <v>0</v>
      </c>
      <c r="AH31" s="2782"/>
      <c r="AI31" s="2775">
        <f>ROUND(IF(AG31=0,0,AG31/ABS(AD31)),3)</f>
        <v>0</v>
      </c>
    </row>
    <row r="32" spans="1:35" s="2763" customFormat="1" ht="18.95" customHeight="1">
      <c r="A32" s="383" t="s">
        <v>185</v>
      </c>
      <c r="B32" s="1492">
        <f>$AA32</f>
        <v>0</v>
      </c>
      <c r="C32" s="428"/>
      <c r="D32" s="1492"/>
      <c r="E32" s="428"/>
      <c r="F32" s="3069"/>
      <c r="G32" s="428"/>
      <c r="H32" s="3507"/>
      <c r="I32" s="2767"/>
      <c r="J32" s="2794"/>
      <c r="K32" s="2617"/>
      <c r="L32" s="2794"/>
      <c r="M32" s="2766"/>
      <c r="N32" s="3513"/>
      <c r="O32" s="2765"/>
      <c r="P32" s="3513"/>
      <c r="Q32" s="2766"/>
      <c r="R32" s="2794"/>
      <c r="S32" s="2766"/>
      <c r="T32" s="2794"/>
      <c r="U32" s="2766"/>
      <c r="V32" s="2794"/>
      <c r="W32" s="2766"/>
      <c r="X32" s="2794"/>
      <c r="Y32" s="2768"/>
      <c r="Z32" s="2769"/>
      <c r="AA32" s="2776">
        <v>0</v>
      </c>
      <c r="AB32" s="2785"/>
      <c r="AC32" s="2786"/>
      <c r="AD32" s="2776">
        <v>0</v>
      </c>
      <c r="AE32" s="2781"/>
      <c r="AF32" s="2787"/>
      <c r="AG32" s="2774">
        <f>ROUND(SUM(AA32-AD32),1)</f>
        <v>0</v>
      </c>
      <c r="AH32" s="2782"/>
      <c r="AI32" s="2775">
        <f>ROUND(IF(AG32=0,0,AG32/ABS(AD32)),3)</f>
        <v>0</v>
      </c>
    </row>
    <row r="33" spans="1:35" s="691" customFormat="1" ht="22.5" customHeight="1">
      <c r="A33" s="443" t="s">
        <v>211</v>
      </c>
      <c r="B33" s="1515">
        <f>ROUND(SUM(B31:B32),1)</f>
        <v>0</v>
      </c>
      <c r="C33" s="680"/>
      <c r="D33" s="1515">
        <f>ROUND(SUM(D31:D32),1)</f>
        <v>0</v>
      </c>
      <c r="E33" s="680"/>
      <c r="F33" s="1515">
        <f>ROUND(SUM(F31:F32),1)</f>
        <v>0</v>
      </c>
      <c r="G33" s="680"/>
      <c r="H33" s="1515">
        <f>ROUND(SUM(H31:H32),1)</f>
        <v>0</v>
      </c>
      <c r="I33" s="1486"/>
      <c r="J33" s="1515">
        <f>ROUND(SUM(J31:J32),1)</f>
        <v>0</v>
      </c>
      <c r="K33" s="680"/>
      <c r="L33" s="1515">
        <f>ROUND(SUM(L31:L32),1)</f>
        <v>0</v>
      </c>
      <c r="M33" s="1486"/>
      <c r="N33" s="1515">
        <f>ROUND(SUM(N31:N32),1)</f>
        <v>0</v>
      </c>
      <c r="O33" s="1486"/>
      <c r="P33" s="1515">
        <f>ROUND(SUM(P31:P32),1)</f>
        <v>0</v>
      </c>
      <c r="Q33" s="1516"/>
      <c r="R33" s="1515">
        <f>ROUND(SUM(R31:R32),1)</f>
        <v>0</v>
      </c>
      <c r="S33" s="1486"/>
      <c r="T33" s="1515">
        <f>ROUND(SUM(T31:T32),1)</f>
        <v>0</v>
      </c>
      <c r="U33" s="1486"/>
      <c r="V33" s="1515">
        <f>ROUND(SUM(V31:V32),1)</f>
        <v>0</v>
      </c>
      <c r="W33" s="1486"/>
      <c r="X33" s="1515">
        <f>ROUND(SUM(X31:X32),1)</f>
        <v>0</v>
      </c>
      <c r="Y33" s="1487"/>
      <c r="Z33" s="1488"/>
      <c r="AA33" s="1970">
        <f>ROUND(SUM(AA31:AA32),1)</f>
        <v>0</v>
      </c>
      <c r="AB33" s="1971"/>
      <c r="AC33" s="1972"/>
      <c r="AD33" s="1515">
        <f>ROUND(SUM(AD31:AD32),1)</f>
        <v>0</v>
      </c>
      <c r="AE33" s="1946"/>
      <c r="AF33" s="1902"/>
      <c r="AG33" s="1948">
        <f>ROUND(SUM(AG31-AG32),1)</f>
        <v>0</v>
      </c>
      <c r="AH33" s="1932"/>
      <c r="AI33" s="1950">
        <f>ROUND(IF(AG33=0,0,AG33/ABS(AD33)),3)</f>
        <v>0</v>
      </c>
    </row>
    <row r="34" spans="1:35" s="691" customFormat="1" ht="18.95" customHeight="1">
      <c r="A34" s="339"/>
      <c r="B34" s="679"/>
      <c r="C34" s="428"/>
      <c r="D34" s="679" t="s">
        <v>15</v>
      </c>
      <c r="E34" s="428"/>
      <c r="F34" s="679"/>
      <c r="G34" s="428"/>
      <c r="H34" s="1489"/>
      <c r="I34" s="1481"/>
      <c r="J34" s="1489"/>
      <c r="K34" s="428"/>
      <c r="L34" s="1489"/>
      <c r="M34" s="1481"/>
      <c r="N34" s="1489"/>
      <c r="O34" s="1481"/>
      <c r="P34" s="1489"/>
      <c r="Q34" s="1481"/>
      <c r="R34" s="1489"/>
      <c r="S34" s="1481"/>
      <c r="T34" s="1489"/>
      <c r="U34" s="1481"/>
      <c r="V34" s="1489"/>
      <c r="W34" s="1481"/>
      <c r="X34" s="1489"/>
      <c r="Y34" s="1482"/>
      <c r="Z34" s="1483"/>
      <c r="AA34" s="1964"/>
      <c r="AB34" s="1960"/>
      <c r="AC34" s="1965"/>
      <c r="AD34" s="1489"/>
      <c r="AE34" s="1920"/>
      <c r="AF34" s="1899"/>
      <c r="AG34" s="1920"/>
      <c r="AH34" s="1907"/>
      <c r="AI34" s="1906"/>
    </row>
    <row r="35" spans="1:35" s="691" customFormat="1" ht="18.95" customHeight="1">
      <c r="A35" s="443" t="s">
        <v>168</v>
      </c>
      <c r="B35" s="428"/>
      <c r="C35" s="428"/>
      <c r="D35" s="428" t="s">
        <v>15</v>
      </c>
      <c r="E35" s="428"/>
      <c r="F35" s="428"/>
      <c r="G35" s="428"/>
      <c r="H35" s="1481"/>
      <c r="I35" s="1481"/>
      <c r="J35" s="1481"/>
      <c r="K35" s="428"/>
      <c r="L35" s="1481"/>
      <c r="M35" s="1481"/>
      <c r="N35" s="1481"/>
      <c r="O35" s="1481"/>
      <c r="P35" s="1481"/>
      <c r="Q35" s="1481"/>
      <c r="R35" s="1481"/>
      <c r="S35" s="1481"/>
      <c r="T35" s="1481"/>
      <c r="U35" s="1481"/>
      <c r="V35" s="1481"/>
      <c r="W35" s="1481"/>
      <c r="X35" s="1481"/>
      <c r="Y35" s="1482"/>
      <c r="Z35" s="1483"/>
      <c r="AA35" s="1942"/>
      <c r="AB35" s="1960"/>
      <c r="AC35" s="1961"/>
      <c r="AD35" s="1481"/>
      <c r="AE35" s="1942"/>
      <c r="AF35" s="1899"/>
      <c r="AG35" s="1920"/>
      <c r="AH35" s="1907"/>
      <c r="AI35" s="1906"/>
    </row>
    <row r="36" spans="1:35" s="691" customFormat="1" ht="18.95" customHeight="1">
      <c r="A36" s="443" t="s">
        <v>230</v>
      </c>
      <c r="B36" s="428"/>
      <c r="C36" s="428"/>
      <c r="D36" s="428"/>
      <c r="E36" s="428"/>
      <c r="F36" s="428"/>
      <c r="G36" s="428"/>
      <c r="H36" s="1481"/>
      <c r="I36" s="1481"/>
      <c r="J36" s="1481"/>
      <c r="K36" s="428"/>
      <c r="L36" s="1481"/>
      <c r="M36" s="1481"/>
      <c r="N36" s="1481"/>
      <c r="O36" s="1481"/>
      <c r="P36" s="1481"/>
      <c r="Q36" s="1481"/>
      <c r="R36" s="1481"/>
      <c r="S36" s="1481"/>
      <c r="T36" s="1481"/>
      <c r="U36" s="1481"/>
      <c r="V36" s="1480"/>
      <c r="W36" s="1481"/>
      <c r="X36" s="1481"/>
      <c r="Y36" s="1482"/>
      <c r="Z36" s="1483"/>
      <c r="AA36" s="1942"/>
      <c r="AB36" s="1960"/>
      <c r="AC36" s="1961"/>
      <c r="AD36" s="1481"/>
      <c r="AE36" s="1947"/>
      <c r="AF36" s="1903"/>
      <c r="AG36" s="1920"/>
      <c r="AH36" s="1907"/>
      <c r="AI36" s="1907"/>
    </row>
    <row r="37" spans="1:35" s="693" customFormat="1" ht="18.95" customHeight="1">
      <c r="A37" s="443" t="s">
        <v>170</v>
      </c>
      <c r="B37" s="1493">
        <f>ROUND(B28+B33,1)</f>
        <v>0.2</v>
      </c>
      <c r="C37" s="680"/>
      <c r="D37" s="1493">
        <f>ROUND(D28+D33,1)</f>
        <v>0</v>
      </c>
      <c r="E37" s="684"/>
      <c r="F37" s="1493">
        <f>ROUND(F28+F33,1)</f>
        <v>0</v>
      </c>
      <c r="G37" s="684"/>
      <c r="H37" s="1493">
        <f>ROUND(H28+H33,1)</f>
        <v>0</v>
      </c>
      <c r="I37" s="1498"/>
      <c r="J37" s="1493">
        <f>ROUND(J28+J33,1)</f>
        <v>0</v>
      </c>
      <c r="K37" s="684"/>
      <c r="L37" s="1493">
        <f>ROUND(L28+L33,1)</f>
        <v>0</v>
      </c>
      <c r="M37" s="1501"/>
      <c r="N37" s="1493">
        <f>ROUND(N28+N33,1)</f>
        <v>0</v>
      </c>
      <c r="O37" s="1501"/>
      <c r="P37" s="1493">
        <f>ROUND(P28+P33,1)</f>
        <v>0</v>
      </c>
      <c r="Q37" s="1501"/>
      <c r="R37" s="1493">
        <f>ROUND(R28+R33,1)</f>
        <v>0</v>
      </c>
      <c r="S37" s="1498"/>
      <c r="T37" s="1493">
        <f>ROUND(T28+T33,1)</f>
        <v>0</v>
      </c>
      <c r="U37" s="1498"/>
      <c r="V37" s="1493">
        <f>ROUND(V28+V33,1)</f>
        <v>0</v>
      </c>
      <c r="W37" s="1498"/>
      <c r="X37" s="1493">
        <f>ROUND(X28+X33,1)</f>
        <v>0</v>
      </c>
      <c r="Y37" s="1487"/>
      <c r="Z37" s="1488"/>
      <c r="AA37" s="1945">
        <f>ROUND(AA28+AA33,1)</f>
        <v>0.2</v>
      </c>
      <c r="AB37" s="1951"/>
      <c r="AC37" s="1973"/>
      <c r="AD37" s="1493">
        <f>ROUND(AD28+AD33,1)</f>
        <v>0.3</v>
      </c>
      <c r="AE37" s="1945"/>
      <c r="AF37" s="1904"/>
      <c r="AG37" s="1951">
        <f>ROUND(SUM(AG28+AG33),1)</f>
        <v>-0.1</v>
      </c>
      <c r="AH37" s="1896"/>
      <c r="AI37" s="3475">
        <f>ROUND(IF(AD37=0,-1,AG37/ABS(AD37)),3)</f>
        <v>-0.33300000000000002</v>
      </c>
    </row>
    <row r="38" spans="1:35" s="691" customFormat="1" ht="22.5" customHeight="1" thickBot="1">
      <c r="A38" s="443" t="s">
        <v>143</v>
      </c>
      <c r="B38" s="1503">
        <f>ROUND(SUM(B13,B37),1)</f>
        <v>12.1</v>
      </c>
      <c r="C38" s="669"/>
      <c r="D38" s="1503">
        <f>ROUND(SUM(D13,D37),1)</f>
        <v>0</v>
      </c>
      <c r="E38" s="669"/>
      <c r="F38" s="1503">
        <f>ROUND(SUM(F13,F37),1)</f>
        <v>0</v>
      </c>
      <c r="G38" s="669"/>
      <c r="H38" s="1503">
        <f>ROUND(SUM(H13,H37),1)</f>
        <v>0</v>
      </c>
      <c r="I38" s="1504"/>
      <c r="J38" s="1503">
        <f>ROUND(SUM(J13,J37),1)</f>
        <v>0</v>
      </c>
      <c r="K38" s="669"/>
      <c r="L38" s="1503">
        <f>ROUND(SUM(L13,L37),1)</f>
        <v>0</v>
      </c>
      <c r="M38" s="672"/>
      <c r="N38" s="1503">
        <f>ROUND(SUM(N13,N37),1)</f>
        <v>0</v>
      </c>
      <c r="O38" s="672"/>
      <c r="P38" s="1503">
        <f>ROUND(SUM(P13,P37),1)</f>
        <v>0</v>
      </c>
      <c r="Q38" s="672"/>
      <c r="R38" s="1503">
        <f>ROUND(SUM(R13,R37),1)</f>
        <v>0</v>
      </c>
      <c r="S38" s="1504"/>
      <c r="T38" s="1503">
        <f>ROUND(SUM(T13,T37),1)</f>
        <v>0</v>
      </c>
      <c r="U38" s="1504"/>
      <c r="V38" s="1503">
        <f>ROUND(SUM(V13,V37),1)</f>
        <v>0</v>
      </c>
      <c r="W38" s="1504"/>
      <c r="X38" s="1503">
        <f>ROUND(SUM(X13,X37),1)</f>
        <v>0</v>
      </c>
      <c r="Y38" s="1472"/>
      <c r="Z38" s="1473"/>
      <c r="AA38" s="1974">
        <f>ROUND(SUM(AA13,AA37),1)</f>
        <v>12.1</v>
      </c>
      <c r="AB38" s="1914"/>
      <c r="AC38" s="1975"/>
      <c r="AD38" s="1952">
        <f>ROUND(SUM(AD13,AD37),1)</f>
        <v>11</v>
      </c>
      <c r="AE38" s="1914"/>
      <c r="AF38" s="1905"/>
      <c r="AG38" s="1952">
        <f>ROUND(SUM(AA38-AD38),1)</f>
        <v>1.1000000000000001</v>
      </c>
      <c r="AH38" s="1931"/>
      <c r="AI38" s="1953">
        <f>ROUND(IF(AG38=0,0,AG38/ABS(AD38)),3)</f>
        <v>0.1</v>
      </c>
    </row>
    <row r="39" spans="1:35" s="691" customFormat="1" ht="18.95" customHeight="1" thickTop="1">
      <c r="A39" s="339" t="s">
        <v>15</v>
      </c>
      <c r="B39" s="1506"/>
      <c r="C39" s="1507"/>
      <c r="D39" s="1506"/>
      <c r="E39" s="1507"/>
      <c r="F39" s="1506"/>
      <c r="G39" s="1507"/>
      <c r="H39" s="1506"/>
      <c r="I39" s="1507"/>
      <c r="J39" s="1506"/>
      <c r="K39" s="1507"/>
      <c r="L39" s="1506"/>
      <c r="M39" s="1507"/>
      <c r="N39" s="1506"/>
      <c r="O39" s="1507"/>
      <c r="P39" s="1506"/>
      <c r="Q39" s="1507"/>
      <c r="R39" s="1506"/>
      <c r="S39" s="1507"/>
      <c r="T39" s="1506"/>
      <c r="U39" s="1507"/>
      <c r="V39" s="1506"/>
      <c r="W39" s="1507"/>
      <c r="X39" s="1506"/>
      <c r="Y39" s="1507"/>
      <c r="Z39" s="1507"/>
      <c r="AA39" s="1976"/>
      <c r="AB39" s="1929"/>
      <c r="AC39" s="1929"/>
      <c r="AD39" s="1929"/>
      <c r="AE39" s="1929"/>
      <c r="AF39" s="1929"/>
      <c r="AG39" s="1916"/>
      <c r="AH39" s="1907"/>
      <c r="AI39" s="1906"/>
    </row>
    <row r="40" spans="1:35" s="691" customFormat="1" ht="18.95" customHeight="1">
      <c r="B40" s="247"/>
      <c r="C40" s="355"/>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698"/>
      <c r="AH40" s="696"/>
    </row>
    <row r="41" spans="1:35" ht="15.75" customHeight="1">
      <c r="A41" s="695"/>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699"/>
    </row>
    <row r="42" spans="1:35" ht="15">
      <c r="A42" s="691"/>
    </row>
    <row r="43" spans="1:35" ht="13.5" customHeight="1">
      <c r="A43" s="1212"/>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699"/>
    </row>
    <row r="44" spans="1:35" ht="15">
      <c r="A44" s="218"/>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699"/>
    </row>
    <row r="45" spans="1:35" ht="15">
      <c r="A45" s="218"/>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row>
    <row r="46" spans="1:35" ht="15">
      <c r="A46" s="218"/>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row>
    <row r="47" spans="1:35" ht="15">
      <c r="A47" s="218"/>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1" firstPageNumber="37" fitToHeight="0" orientation="landscape" useFirstPageNumber="1" r:id="rId2"/>
  <headerFooter scaleWithDoc="0" alignWithMargins="0">
    <oddFooter>&amp;C&amp;8&amp;P</oddFooter>
  </headerFooter>
  <ignoredErrors>
    <ignoredError sqref="AI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G71"/>
  <sheetViews>
    <sheetView showGridLines="0" topLeftCell="A31" zoomScale="76" zoomScaleNormal="55" workbookViewId="0">
      <selection activeCell="B41" sqref="B41"/>
    </sheetView>
  </sheetViews>
  <sheetFormatPr defaultColWidth="8.88671875" defaultRowHeight="11.25"/>
  <cols>
    <col min="1" max="1" width="38.44140625" style="144" customWidth="1"/>
    <col min="2" max="2" width="6.88671875" style="144" customWidth="1"/>
    <col min="3" max="3" width="4.21875" style="144" customWidth="1"/>
    <col min="4" max="4" width="14" style="144" customWidth="1"/>
    <col min="5" max="5" width="1.109375" style="144" customWidth="1"/>
    <col min="6" max="6" width="13.44140625" style="144" customWidth="1"/>
    <col min="7" max="7" width="1.109375" style="144" customWidth="1"/>
    <col min="8" max="8" width="13.44140625" style="1058" customWidth="1"/>
    <col min="9" max="9" width="1.6640625" style="144" customWidth="1"/>
    <col min="10" max="10" width="13.44140625" style="144" customWidth="1"/>
    <col min="11" max="11" width="1.109375" style="144" customWidth="1"/>
    <col min="12" max="12" width="11.6640625" style="144" customWidth="1"/>
    <col min="13" max="13" width="1.109375" style="144" customWidth="1"/>
    <col min="14" max="14" width="13.5546875" style="144" customWidth="1"/>
    <col min="15" max="15" width="1.109375" style="144" customWidth="1"/>
    <col min="16" max="16" width="0.6640625" style="144" customWidth="1"/>
    <col min="17" max="17" width="1.109375" style="144" customWidth="1"/>
    <col min="18" max="18" width="14.44140625" style="144" customWidth="1"/>
    <col min="19" max="19" width="1.109375" style="144" customWidth="1"/>
    <col min="20" max="20" width="14.44140625" style="144" customWidth="1"/>
    <col min="21" max="21" width="1.109375" style="212" customWidth="1"/>
    <col min="22" max="22" width="0.6640625" style="212" customWidth="1"/>
    <col min="23" max="24" width="1.109375" style="212" customWidth="1"/>
    <col min="25" max="25" width="12.77734375" style="212" customWidth="1"/>
    <col min="26" max="26" width="1.109375" style="212" customWidth="1"/>
    <col min="27" max="27" width="16.77734375" style="212" bestFit="1" customWidth="1"/>
    <col min="28" max="28" width="1.88671875" style="212" customWidth="1"/>
    <col min="29" max="29" width="1.33203125" style="1643" customWidth="1"/>
    <col min="30" max="30" width="13.109375" style="212" customWidth="1"/>
    <col min="31" max="31" width="3" style="212" customWidth="1"/>
    <col min="32" max="32" width="12" style="212" customWidth="1"/>
    <col min="33" max="16384" width="8.88671875" style="212"/>
  </cols>
  <sheetData>
    <row r="1" spans="1:33" ht="15">
      <c r="A1" s="1052" t="s">
        <v>1064</v>
      </c>
    </row>
    <row r="2" spans="1:33" ht="15">
      <c r="A2" s="1052"/>
    </row>
    <row r="3" spans="1:33" ht="24" customHeight="1">
      <c r="A3" s="3735" t="s">
        <v>0</v>
      </c>
      <c r="B3" s="3736"/>
      <c r="C3" s="3736"/>
      <c r="D3" s="3736"/>
      <c r="E3" s="3736"/>
      <c r="F3" s="3736"/>
      <c r="G3" s="3736"/>
      <c r="H3" s="3736"/>
      <c r="I3" s="3736"/>
      <c r="J3" s="3736"/>
      <c r="K3" s="3736"/>
      <c r="L3" s="3736"/>
      <c r="M3" s="3736"/>
      <c r="N3" s="3736"/>
      <c r="O3" s="3736"/>
      <c r="P3" s="3736"/>
      <c r="Q3" s="3736"/>
      <c r="R3" s="3736"/>
      <c r="S3" s="3736"/>
      <c r="T3" s="3736"/>
      <c r="U3" s="3736"/>
      <c r="V3" s="3736"/>
      <c r="W3" s="3736"/>
      <c r="X3" s="3736"/>
      <c r="Y3" s="3736"/>
      <c r="Z3" s="3736"/>
      <c r="AA3" s="3736"/>
      <c r="AB3" s="3736"/>
      <c r="AC3" s="137"/>
      <c r="AF3" s="141" t="s">
        <v>55</v>
      </c>
    </row>
    <row r="4" spans="1:33" ht="20.25">
      <c r="A4" s="3737" t="s">
        <v>1286</v>
      </c>
      <c r="B4" s="3736"/>
      <c r="C4" s="3736"/>
      <c r="D4" s="3736"/>
      <c r="E4" s="3736"/>
      <c r="F4" s="3736"/>
      <c r="G4" s="3736"/>
      <c r="H4" s="3736"/>
      <c r="I4" s="3736"/>
      <c r="J4" s="3736"/>
      <c r="K4" s="3736"/>
      <c r="L4" s="3736"/>
      <c r="M4" s="3736"/>
      <c r="N4" s="3736"/>
      <c r="O4" s="3736"/>
      <c r="P4" s="3736"/>
      <c r="Q4" s="3736"/>
      <c r="R4" s="3736"/>
      <c r="S4" s="3736"/>
      <c r="T4" s="3736"/>
      <c r="U4" s="3736"/>
      <c r="V4" s="3736"/>
      <c r="W4" s="3736"/>
      <c r="X4" s="3736"/>
      <c r="Y4" s="3736"/>
      <c r="Z4" s="3736"/>
      <c r="AA4" s="3736"/>
      <c r="AB4" s="3736"/>
      <c r="AC4" s="137"/>
      <c r="AF4" s="141" t="s">
        <v>56</v>
      </c>
    </row>
    <row r="5" spans="1:33" ht="20.25">
      <c r="A5" s="3737" t="s">
        <v>962</v>
      </c>
      <c r="B5" s="3736"/>
      <c r="C5" s="3736"/>
      <c r="D5" s="3736"/>
      <c r="E5" s="3736"/>
      <c r="F5" s="3736"/>
      <c r="G5" s="3736"/>
      <c r="H5" s="3736"/>
      <c r="I5" s="3736"/>
      <c r="J5" s="3736"/>
      <c r="K5" s="3736"/>
      <c r="L5" s="3736"/>
      <c r="M5" s="3736"/>
      <c r="N5" s="3736"/>
      <c r="O5" s="3736"/>
      <c r="P5" s="3736"/>
      <c r="Q5" s="3736"/>
      <c r="R5" s="3736"/>
      <c r="S5" s="3736"/>
      <c r="T5" s="3736"/>
      <c r="U5" s="3736"/>
      <c r="V5" s="3736"/>
      <c r="W5" s="3736"/>
      <c r="X5" s="3736"/>
      <c r="Y5" s="3736"/>
      <c r="Z5" s="3736"/>
      <c r="AA5" s="3736"/>
      <c r="AB5" s="3736"/>
      <c r="AC5" s="137"/>
    </row>
    <row r="6" spans="1:33" ht="23.25" customHeight="1">
      <c r="A6" s="1981" t="s">
        <v>957</v>
      </c>
      <c r="B6" s="1980"/>
      <c r="C6" s="1980"/>
      <c r="D6" s="1980"/>
      <c r="E6" s="1980"/>
      <c r="F6" s="1980"/>
      <c r="G6" s="1980"/>
      <c r="H6" s="1980"/>
      <c r="I6" s="1980"/>
      <c r="J6" s="1980"/>
      <c r="K6" s="1980"/>
      <c r="L6" s="1980"/>
      <c r="M6" s="1980"/>
      <c r="N6" s="1980"/>
      <c r="O6" s="1980"/>
      <c r="P6" s="1980"/>
      <c r="Q6" s="1980"/>
      <c r="R6" s="1980"/>
      <c r="S6" s="1980"/>
      <c r="T6" s="1980"/>
      <c r="U6" s="1980"/>
      <c r="V6" s="1980"/>
      <c r="W6" s="1980"/>
      <c r="X6" s="1980"/>
      <c r="Y6" s="3201"/>
      <c r="Z6" s="1980"/>
      <c r="AA6" s="1980"/>
      <c r="AB6" s="1980"/>
      <c r="AC6" s="137"/>
    </row>
    <row r="7" spans="1:33" ht="23.25" customHeight="1">
      <c r="A7" s="3737"/>
      <c r="B7" s="3736"/>
      <c r="C7" s="3736"/>
      <c r="D7" s="3736"/>
      <c r="E7" s="3736"/>
      <c r="F7" s="3736"/>
      <c r="G7" s="3736"/>
      <c r="H7" s="3736"/>
      <c r="I7" s="3736"/>
      <c r="J7" s="3736"/>
      <c r="K7" s="3736"/>
      <c r="L7" s="3736"/>
      <c r="M7" s="3736"/>
      <c r="N7" s="3736"/>
      <c r="O7" s="3736"/>
      <c r="P7" s="3736"/>
      <c r="Q7" s="3736"/>
      <c r="R7" s="3736"/>
      <c r="S7" s="3736"/>
      <c r="T7" s="3736"/>
      <c r="U7" s="3736"/>
      <c r="V7" s="3736"/>
      <c r="W7" s="3736"/>
      <c r="X7" s="3736"/>
      <c r="Y7" s="3736"/>
      <c r="Z7" s="3736"/>
      <c r="AA7" s="3736"/>
      <c r="AB7" s="3736"/>
      <c r="AC7" s="137"/>
    </row>
    <row r="8" spans="1:33" ht="21">
      <c r="A8" s="138"/>
      <c r="B8" s="138"/>
      <c r="C8" s="138"/>
      <c r="D8" s="138"/>
      <c r="E8" s="138"/>
      <c r="F8" s="138"/>
      <c r="G8" s="138"/>
      <c r="H8" s="1057"/>
      <c r="I8" s="139"/>
      <c r="J8" s="139"/>
      <c r="K8" s="139"/>
      <c r="L8" s="139"/>
      <c r="M8" s="138"/>
      <c r="N8" s="139"/>
      <c r="O8" s="139"/>
      <c r="P8" s="139"/>
      <c r="Q8" s="139"/>
      <c r="R8" s="139"/>
      <c r="S8" s="139"/>
      <c r="T8" s="139"/>
      <c r="U8" s="1870"/>
      <c r="V8" s="1870"/>
      <c r="W8" s="1870"/>
      <c r="X8" s="1870"/>
      <c r="Y8" s="140"/>
      <c r="Z8" s="140"/>
      <c r="AA8" s="141"/>
      <c r="AB8" s="140"/>
      <c r="AC8" s="142"/>
    </row>
    <row r="9" spans="1:33" ht="20.25" customHeight="1">
      <c r="A9" s="138"/>
      <c r="B9" s="138"/>
      <c r="C9" s="138"/>
      <c r="D9" s="138"/>
      <c r="E9" s="138"/>
      <c r="F9" s="138"/>
      <c r="G9" s="138"/>
      <c r="H9" s="1057"/>
      <c r="I9" s="139"/>
      <c r="J9" s="139"/>
      <c r="K9" s="139"/>
      <c r="L9" s="139"/>
      <c r="M9" s="138"/>
      <c r="N9" s="139"/>
      <c r="O9" s="146"/>
      <c r="P9" s="146"/>
      <c r="Q9" s="146"/>
      <c r="R9" s="146"/>
      <c r="S9" s="149"/>
      <c r="T9" s="149"/>
      <c r="U9" s="1643"/>
      <c r="V9" s="1643"/>
      <c r="W9" s="1643"/>
      <c r="X9" s="1642"/>
      <c r="Y9" s="140"/>
      <c r="Z9" s="140"/>
      <c r="AA9" s="141"/>
      <c r="AB9" s="140"/>
      <c r="AC9" s="142"/>
    </row>
    <row r="10" spans="1:33" ht="12" customHeight="1">
      <c r="A10" s="138"/>
      <c r="B10" s="138"/>
      <c r="C10" s="138"/>
      <c r="D10" s="138"/>
      <c r="E10" s="138"/>
      <c r="F10" s="138"/>
      <c r="G10" s="138"/>
      <c r="H10" s="1057"/>
      <c r="I10" s="139"/>
      <c r="J10" s="139"/>
      <c r="K10" s="139"/>
      <c r="L10" s="139"/>
      <c r="M10" s="138"/>
      <c r="N10" s="139"/>
      <c r="O10" s="146"/>
      <c r="P10" s="1644"/>
      <c r="Q10" s="1642"/>
      <c r="R10" s="1642"/>
      <c r="S10" s="1643"/>
      <c r="T10" s="1643"/>
      <c r="U10" s="1643"/>
      <c r="V10" s="1643"/>
      <c r="W10" s="1643"/>
      <c r="X10" s="1642"/>
      <c r="Y10" s="140"/>
      <c r="Z10" s="140"/>
      <c r="AA10" s="145"/>
      <c r="AB10" s="140"/>
      <c r="AC10" s="142"/>
    </row>
    <row r="11" spans="1:33" ht="8.25" customHeight="1">
      <c r="A11" s="139"/>
      <c r="B11" s="138"/>
      <c r="C11" s="138"/>
      <c r="O11" s="139"/>
      <c r="P11" s="1645"/>
      <c r="Q11" s="1642"/>
      <c r="R11" s="1642"/>
      <c r="S11" s="1642"/>
      <c r="T11" s="1642"/>
      <c r="U11" s="1642"/>
      <c r="V11" s="1642"/>
      <c r="W11" s="1870"/>
      <c r="X11" s="1870"/>
      <c r="Y11" s="1696"/>
      <c r="Z11" s="1696"/>
      <c r="AA11" s="1696"/>
      <c r="AB11" s="1696"/>
      <c r="AC11" s="1871"/>
    </row>
    <row r="12" spans="1:33" ht="15.95" customHeight="1">
      <c r="A12" s="138"/>
      <c r="B12" s="138"/>
      <c r="C12" s="147"/>
      <c r="D12" s="3732"/>
      <c r="E12" s="3733"/>
      <c r="F12" s="3733"/>
      <c r="G12" s="3733"/>
      <c r="H12" s="3733"/>
      <c r="I12" s="3733"/>
      <c r="J12" s="3733"/>
      <c r="K12" s="3733"/>
      <c r="L12" s="3733"/>
      <c r="M12" s="3733"/>
      <c r="N12" s="3733"/>
      <c r="O12" s="1642"/>
      <c r="P12" s="1644"/>
      <c r="Q12" s="1642"/>
      <c r="R12" s="3731"/>
      <c r="S12" s="3731"/>
      <c r="T12" s="3731"/>
      <c r="U12" s="3731"/>
      <c r="V12" s="3731"/>
      <c r="W12" s="3731"/>
      <c r="X12" s="3731"/>
      <c r="Y12" s="3731"/>
      <c r="Z12" s="3731"/>
      <c r="AA12" s="3731"/>
      <c r="AB12" s="3731"/>
      <c r="AC12" s="1871"/>
      <c r="AD12" s="1643"/>
      <c r="AE12" s="1643"/>
      <c r="AF12" s="1643"/>
      <c r="AG12" s="1643"/>
    </row>
    <row r="13" spans="1:33" ht="15.95" customHeight="1">
      <c r="A13" s="1056"/>
      <c r="B13" s="990"/>
      <c r="C13" s="990"/>
      <c r="D13" s="154" t="s">
        <v>3</v>
      </c>
      <c r="E13" s="154"/>
      <c r="F13" s="154"/>
      <c r="G13" s="155"/>
      <c r="H13" s="1074" t="s">
        <v>1267</v>
      </c>
      <c r="I13" s="154"/>
      <c r="J13" s="154"/>
      <c r="K13" s="149"/>
      <c r="L13" s="3734" t="s">
        <v>5</v>
      </c>
      <c r="M13" s="3734"/>
      <c r="N13" s="3734"/>
      <c r="O13" s="1584"/>
      <c r="P13" s="1646"/>
      <c r="Q13" s="1646"/>
      <c r="R13" s="2232" t="s">
        <v>1285</v>
      </c>
      <c r="S13" s="2232"/>
      <c r="T13" s="2232"/>
      <c r="U13" s="2232"/>
      <c r="V13" s="2232"/>
      <c r="W13" s="2232"/>
      <c r="X13" s="2232"/>
      <c r="Y13" s="2232"/>
      <c r="Z13" s="2232"/>
      <c r="AA13" s="2232"/>
      <c r="AB13" s="2232"/>
      <c r="AC13" s="2006"/>
      <c r="AD13" s="2007"/>
      <c r="AE13" s="2007"/>
      <c r="AF13" s="2007"/>
    </row>
    <row r="14" spans="1:33" ht="15.75" customHeight="1">
      <c r="A14" s="152"/>
      <c r="B14" s="152"/>
      <c r="C14" s="153"/>
      <c r="D14" s="1584" t="s">
        <v>7</v>
      </c>
      <c r="E14" s="1584"/>
      <c r="F14" s="157" t="str">
        <f>'Exhibit A'!F11</f>
        <v>1 MO. ENDED</v>
      </c>
      <c r="G14" s="148"/>
      <c r="H14" s="1584" t="s">
        <v>7</v>
      </c>
      <c r="I14" s="1584"/>
      <c r="J14" s="1584" t="str">
        <f>F14</f>
        <v>1 MO. ENDED</v>
      </c>
      <c r="K14" s="148"/>
      <c r="L14" s="1584" t="s">
        <v>7</v>
      </c>
      <c r="M14" s="1584"/>
      <c r="N14" s="1584" t="str">
        <f>F14</f>
        <v>1 MO. ENDED</v>
      </c>
      <c r="O14" s="1584"/>
      <c r="P14" s="1647"/>
      <c r="Q14" s="1584"/>
      <c r="R14" s="1584" t="s">
        <v>7</v>
      </c>
      <c r="S14" s="1584"/>
      <c r="T14" s="1584" t="str">
        <f>F14</f>
        <v>1 MO. ENDED</v>
      </c>
      <c r="U14" s="1646"/>
      <c r="V14" s="1646"/>
      <c r="W14" s="1646"/>
      <c r="X14" s="1646"/>
      <c r="Y14" s="3200" t="s">
        <v>7</v>
      </c>
      <c r="Z14" s="1646"/>
      <c r="AA14" s="1646" t="str">
        <f>'Exhibit A'!AD11</f>
        <v>1 MO. ENDED</v>
      </c>
      <c r="AB14" s="1646"/>
      <c r="AC14" s="1872"/>
      <c r="AD14" s="24" t="s">
        <v>8</v>
      </c>
      <c r="AE14" s="1054"/>
      <c r="AF14" s="20" t="s">
        <v>9</v>
      </c>
    </row>
    <row r="15" spans="1:33" ht="15.95" customHeight="1">
      <c r="A15" s="152"/>
      <c r="B15" s="152"/>
      <c r="C15" s="152"/>
      <c r="D15" s="158" t="str">
        <f>'Exhibit A'!D12</f>
        <v>APR. 2018</v>
      </c>
      <c r="E15" s="148"/>
      <c r="F15" s="158" t="str">
        <f>'Exhibit A'!F12</f>
        <v>APR. 30, 2018</v>
      </c>
      <c r="G15" s="148"/>
      <c r="H15" s="1585" t="str">
        <f>D15</f>
        <v>APR. 2018</v>
      </c>
      <c r="I15" s="148"/>
      <c r="J15" s="1585" t="str">
        <f>F15</f>
        <v>APR. 30, 2018</v>
      </c>
      <c r="K15" s="148"/>
      <c r="L15" s="1585" t="str">
        <f>D15</f>
        <v>APR. 2018</v>
      </c>
      <c r="M15" s="148"/>
      <c r="N15" s="1585" t="str">
        <f>F15</f>
        <v>APR. 30, 2018</v>
      </c>
      <c r="O15" s="1584"/>
      <c r="P15" s="1647"/>
      <c r="Q15" s="1584"/>
      <c r="R15" s="1585" t="str">
        <f>D15</f>
        <v>APR. 2018</v>
      </c>
      <c r="S15" s="148"/>
      <c r="T15" s="1585" t="str">
        <f>F15</f>
        <v>APR. 30, 2018</v>
      </c>
      <c r="U15" s="1646"/>
      <c r="V15" s="1646"/>
      <c r="W15" s="1646"/>
      <c r="X15" s="1697"/>
      <c r="Y15" s="1873" t="str">
        <f>'Exhibit A'!AB12</f>
        <v>APR. 2017</v>
      </c>
      <c r="Z15" s="1697"/>
      <c r="AA15" s="1873" t="str">
        <f>'Exhibit A'!AD12</f>
        <v>APR. 30, 2017</v>
      </c>
      <c r="AB15" s="1697"/>
      <c r="AC15" s="1872"/>
      <c r="AD15" s="1874" t="s">
        <v>12</v>
      </c>
      <c r="AE15" s="1052"/>
      <c r="AF15" s="25" t="s">
        <v>13</v>
      </c>
    </row>
    <row r="16" spans="1:33" ht="15.95" customHeight="1">
      <c r="A16" s="151" t="s">
        <v>14</v>
      </c>
      <c r="B16" s="152"/>
      <c r="C16" s="152"/>
      <c r="D16" s="1000" t="s">
        <v>15</v>
      </c>
      <c r="E16" s="152"/>
      <c r="F16" s="153"/>
      <c r="G16" s="152"/>
      <c r="H16" s="990" t="s">
        <v>15</v>
      </c>
      <c r="I16" s="152"/>
      <c r="J16" s="153"/>
      <c r="K16" s="152"/>
      <c r="L16" s="990" t="s">
        <v>15</v>
      </c>
      <c r="M16" s="152"/>
      <c r="N16" s="153"/>
      <c r="O16" s="153"/>
      <c r="P16" s="1648"/>
      <c r="Q16" s="159"/>
      <c r="R16" s="153"/>
      <c r="S16" s="153"/>
      <c r="T16" s="153"/>
      <c r="U16" s="160"/>
      <c r="V16" s="160"/>
      <c r="W16" s="1875"/>
      <c r="X16" s="160"/>
      <c r="Y16" s="160"/>
      <c r="Z16" s="172"/>
      <c r="AA16" s="160"/>
      <c r="AB16" s="160"/>
      <c r="AC16" s="1700"/>
      <c r="AD16" s="33"/>
      <c r="AE16" s="2"/>
      <c r="AF16" s="19"/>
    </row>
    <row r="17" spans="1:32" ht="18" customHeight="1">
      <c r="A17" s="152" t="s">
        <v>16</v>
      </c>
      <c r="B17" s="161"/>
      <c r="C17" s="152"/>
      <c r="D17" s="1001">
        <f>+'Exhibit A'!D14</f>
        <v>2928.1</v>
      </c>
      <c r="E17" s="162" t="s">
        <v>15</v>
      </c>
      <c r="F17" s="162">
        <f>+'Exhibit A'!F14</f>
        <v>2928.1</v>
      </c>
      <c r="G17" s="162"/>
      <c r="H17" s="1113">
        <f>+'Exhibit G state'!D17</f>
        <v>0</v>
      </c>
      <c r="I17" s="162"/>
      <c r="J17" s="1812">
        <f>'Exhibit G state'!AD17</f>
        <v>0</v>
      </c>
      <c r="K17" s="162"/>
      <c r="L17" s="991">
        <f>+'Exhibit A'!L14</f>
        <v>2928.1</v>
      </c>
      <c r="M17" s="162"/>
      <c r="N17" s="162">
        <f>+'Exhibit A'!N14</f>
        <v>2928.1</v>
      </c>
      <c r="O17" s="164"/>
      <c r="P17" s="1649"/>
      <c r="Q17" s="165"/>
      <c r="R17" s="162">
        <f t="shared" ref="R17:R22" si="0">ROUND(SUM(D17+H17+L17),1)</f>
        <v>5856.2</v>
      </c>
      <c r="S17" s="162"/>
      <c r="T17" s="163">
        <f t="shared" ref="T17:T22" si="1">ROUND(SUM(F17+J17+N17),1)</f>
        <v>5856.2</v>
      </c>
      <c r="U17" s="1653"/>
      <c r="V17" s="1653"/>
      <c r="W17" s="1876"/>
      <c r="X17" s="1653"/>
      <c r="Y17" s="1653">
        <v>5001.8</v>
      </c>
      <c r="Z17" s="1653" t="s">
        <v>15</v>
      </c>
      <c r="AA17" s="1653">
        <f>'Exhibit F'!AF28+'Exhibit G state'!AG17+'Exhibit H'!AD16</f>
        <v>5001.8</v>
      </c>
      <c r="AB17" s="1698"/>
      <c r="AC17" s="1701"/>
      <c r="AD17" s="1877">
        <f t="shared" ref="AD17:AD22" si="2">ROUND(SUM(T17-AA17),1)</f>
        <v>854.4</v>
      </c>
      <c r="AE17" s="44"/>
      <c r="AF17" s="45">
        <f>ROUND(+AD17/AA17,3)</f>
        <v>0.17100000000000001</v>
      </c>
    </row>
    <row r="18" spans="1:32" ht="18" customHeight="1">
      <c r="A18" s="152" t="s">
        <v>17</v>
      </c>
      <c r="B18" s="161" t="s">
        <v>15</v>
      </c>
      <c r="C18" s="152"/>
      <c r="D18" s="992">
        <f>+'Exhibit A'!D15</f>
        <v>543.79999999999995</v>
      </c>
      <c r="E18" s="166"/>
      <c r="F18" s="166">
        <f>+'Exhibit A'!F15</f>
        <v>543.79999999999995</v>
      </c>
      <c r="G18" s="166"/>
      <c r="H18" s="1114">
        <f>+'Exhibit G state'!D28</f>
        <v>186.4</v>
      </c>
      <c r="I18" s="166"/>
      <c r="J18" s="1808">
        <f>'Exhibit G state'!AD28</f>
        <v>186.4</v>
      </c>
      <c r="K18" s="166"/>
      <c r="L18" s="992">
        <f>+'Exhibit A'!L15</f>
        <v>502.8</v>
      </c>
      <c r="M18" s="166"/>
      <c r="N18" s="166">
        <f>+'Exhibit A'!N15</f>
        <v>502.8</v>
      </c>
      <c r="O18" s="167"/>
      <c r="P18" s="1650"/>
      <c r="Q18" s="168"/>
      <c r="R18" s="166">
        <f t="shared" si="0"/>
        <v>1233</v>
      </c>
      <c r="S18" s="166"/>
      <c r="T18" s="169">
        <f t="shared" si="1"/>
        <v>1233</v>
      </c>
      <c r="U18" s="191"/>
      <c r="V18" s="191"/>
      <c r="W18" s="1655"/>
      <c r="X18" s="191"/>
      <c r="Y18" s="191">
        <v>1177.5</v>
      </c>
      <c r="Z18" s="191" t="s">
        <v>15</v>
      </c>
      <c r="AA18" s="191">
        <f>'Exhibit F'!AF37+'Exhibit G state'!AG28+'Exhibit H'!AD20</f>
        <v>1177.5</v>
      </c>
      <c r="AB18" s="160"/>
      <c r="AC18" s="1700"/>
      <c r="AD18" s="52">
        <f t="shared" si="2"/>
        <v>55.5</v>
      </c>
      <c r="AE18" s="2"/>
      <c r="AF18" s="45">
        <f t="shared" ref="AF18:AF23" si="3">ROUND(+AD18/AA18,3)</f>
        <v>4.7E-2</v>
      </c>
    </row>
    <row r="19" spans="1:32" ht="18" customHeight="1">
      <c r="A19" s="152" t="s">
        <v>18</v>
      </c>
      <c r="B19" s="173"/>
      <c r="C19" s="152"/>
      <c r="D19" s="992">
        <f>+'Exhibit A'!D16</f>
        <v>345.5</v>
      </c>
      <c r="E19" s="166"/>
      <c r="F19" s="166">
        <f>+'Exhibit A'!F16</f>
        <v>345.5</v>
      </c>
      <c r="G19" s="166"/>
      <c r="H19" s="1114">
        <f>+'Exhibit G state'!D35</f>
        <v>172</v>
      </c>
      <c r="I19" s="166"/>
      <c r="J19" s="1808">
        <f>'Exhibit G state'!AD35</f>
        <v>172</v>
      </c>
      <c r="K19" s="166"/>
      <c r="L19" s="992">
        <f>+'Exhibit A'!L16</f>
        <v>0</v>
      </c>
      <c r="M19" s="166"/>
      <c r="N19" s="166">
        <f>+'Exhibit A'!N16</f>
        <v>0</v>
      </c>
      <c r="O19" s="174"/>
      <c r="P19" s="1651"/>
      <c r="Q19" s="175"/>
      <c r="R19" s="166">
        <f t="shared" si="0"/>
        <v>517.5</v>
      </c>
      <c r="S19" s="166"/>
      <c r="T19" s="169">
        <f t="shared" si="1"/>
        <v>517.5</v>
      </c>
      <c r="U19" s="191"/>
      <c r="V19" s="191"/>
      <c r="W19" s="1878"/>
      <c r="X19" s="1654"/>
      <c r="Y19" s="191">
        <v>556.4</v>
      </c>
      <c r="Z19" s="191" t="s">
        <v>15</v>
      </c>
      <c r="AA19" s="191">
        <f>'Exhibit F'!AF44+'Exhibit G state'!AG35</f>
        <v>556.4</v>
      </c>
      <c r="AB19" s="160"/>
      <c r="AC19" s="1700"/>
      <c r="AD19" s="52">
        <f t="shared" si="2"/>
        <v>-38.9</v>
      </c>
      <c r="AE19" s="2"/>
      <c r="AF19" s="45">
        <f t="shared" si="3"/>
        <v>-7.0000000000000007E-2</v>
      </c>
    </row>
    <row r="20" spans="1:32" ht="18" customHeight="1">
      <c r="A20" s="152" t="s">
        <v>19</v>
      </c>
      <c r="B20" s="161">
        <v>-4</v>
      </c>
      <c r="C20" s="152"/>
      <c r="D20" s="992">
        <f>+'Exhibit A'!D17</f>
        <v>51.6</v>
      </c>
      <c r="E20" s="166"/>
      <c r="F20" s="166">
        <f>+'Exhibit A'!F17</f>
        <v>51.6</v>
      </c>
      <c r="G20" s="166"/>
      <c r="H20" s="1114">
        <f>+'Exhibit G state'!D38</f>
        <v>0</v>
      </c>
      <c r="I20" s="166"/>
      <c r="J20" s="1808">
        <f>'Exhibit G state'!AD38</f>
        <v>0</v>
      </c>
      <c r="K20" s="166"/>
      <c r="L20" s="992">
        <f>+'Exhibit A'!L17</f>
        <v>87</v>
      </c>
      <c r="M20" s="166"/>
      <c r="N20" s="166">
        <f>+'Exhibit A'!N17</f>
        <v>87</v>
      </c>
      <c r="O20" s="167"/>
      <c r="P20" s="1650"/>
      <c r="Q20" s="168"/>
      <c r="R20" s="166">
        <f t="shared" si="0"/>
        <v>138.6</v>
      </c>
      <c r="S20" s="166"/>
      <c r="T20" s="169">
        <f t="shared" si="1"/>
        <v>138.6</v>
      </c>
      <c r="U20" s="191"/>
      <c r="V20" s="191"/>
      <c r="W20" s="1655"/>
      <c r="X20" s="191"/>
      <c r="Y20" s="191">
        <v>305.89999999999998</v>
      </c>
      <c r="Z20" s="191" t="s">
        <v>15</v>
      </c>
      <c r="AA20" s="191">
        <f>'Exhibit F'!AF52+'Exhibit G state'!AG38+'Exhibit H'!AD23</f>
        <v>305.90000000000003</v>
      </c>
      <c r="AB20" s="160"/>
      <c r="AC20" s="1700"/>
      <c r="AD20" s="52">
        <f t="shared" si="2"/>
        <v>-167.3</v>
      </c>
      <c r="AE20" s="2"/>
      <c r="AF20" s="45">
        <f t="shared" si="3"/>
        <v>-0.54700000000000004</v>
      </c>
    </row>
    <row r="21" spans="1:32" ht="18" customHeight="1">
      <c r="A21" s="152" t="s">
        <v>20</v>
      </c>
      <c r="B21" s="177"/>
      <c r="C21" s="152"/>
      <c r="D21" s="992">
        <f>+'Exhibit A'!D18</f>
        <v>220.3</v>
      </c>
      <c r="E21" s="166"/>
      <c r="F21" s="166">
        <f>+'Exhibit A'!F18</f>
        <v>220.3</v>
      </c>
      <c r="G21" s="166"/>
      <c r="H21" s="1114">
        <f>+'Exhibit G state'!D82</f>
        <v>1523.5</v>
      </c>
      <c r="I21" s="166"/>
      <c r="J21" s="1808">
        <f>'Exhibit G state'!AD82</f>
        <v>1523.5</v>
      </c>
      <c r="K21" s="166"/>
      <c r="L21" s="992">
        <f>+'Exhibit A'!L18</f>
        <v>43.9</v>
      </c>
      <c r="M21" s="166"/>
      <c r="N21" s="166">
        <f>+'Exhibit A'!N18</f>
        <v>43.9</v>
      </c>
      <c r="O21" s="167"/>
      <c r="P21" s="1650"/>
      <c r="Q21" s="168"/>
      <c r="R21" s="166">
        <f t="shared" si="0"/>
        <v>1787.7</v>
      </c>
      <c r="S21" s="166"/>
      <c r="T21" s="169">
        <f t="shared" si="1"/>
        <v>1787.7</v>
      </c>
      <c r="U21" s="191"/>
      <c r="V21" s="191"/>
      <c r="W21" s="1655"/>
      <c r="X21" s="191"/>
      <c r="Y21" s="191">
        <v>1387.2</v>
      </c>
      <c r="Z21" s="191" t="s">
        <v>15</v>
      </c>
      <c r="AA21" s="191">
        <f>+'Exhibit F'!AF92+'Exhibit G state'!AG82+'Exhibit H'!AD44</f>
        <v>1387.2</v>
      </c>
      <c r="AB21" s="160"/>
      <c r="AC21" s="1700"/>
      <c r="AD21" s="52">
        <f t="shared" si="2"/>
        <v>400.5</v>
      </c>
      <c r="AE21" s="2"/>
      <c r="AF21" s="45">
        <f t="shared" si="3"/>
        <v>0.28899999999999998</v>
      </c>
    </row>
    <row r="22" spans="1:32" ht="18" customHeight="1">
      <c r="A22" s="152" t="s">
        <v>21</v>
      </c>
      <c r="B22" s="177"/>
      <c r="C22" s="152"/>
      <c r="D22" s="992">
        <f>+'Exhibit A'!D19</f>
        <v>0</v>
      </c>
      <c r="E22" s="166"/>
      <c r="F22" s="166">
        <f>+'Exhibit A'!F19</f>
        <v>0</v>
      </c>
      <c r="G22" s="166"/>
      <c r="H22" s="1114">
        <f>+'Exhibit G state'!D84</f>
        <v>-2.6</v>
      </c>
      <c r="I22" s="166"/>
      <c r="J22" s="1808">
        <f>'Exhibit G state'!AD84</f>
        <v>-2.6</v>
      </c>
      <c r="K22" s="166"/>
      <c r="L22" s="992">
        <f>+'Exhibit A'!L19</f>
        <v>0</v>
      </c>
      <c r="M22" s="171"/>
      <c r="N22" s="166">
        <f>+'Exhibit A'!N19</f>
        <v>0</v>
      </c>
      <c r="O22" s="174"/>
      <c r="P22" s="1651"/>
      <c r="Q22" s="175"/>
      <c r="R22" s="171">
        <f t="shared" si="0"/>
        <v>-2.6</v>
      </c>
      <c r="S22" s="174"/>
      <c r="T22" s="169">
        <f t="shared" si="1"/>
        <v>-2.6</v>
      </c>
      <c r="U22" s="191"/>
      <c r="V22" s="191"/>
      <c r="W22" s="1878"/>
      <c r="X22" s="1879"/>
      <c r="Y22" s="191">
        <v>0</v>
      </c>
      <c r="Z22" s="191" t="s">
        <v>15</v>
      </c>
      <c r="AA22" s="191">
        <f>+'Exhibit F'!AF94+'Exhibit G state'!AG84+'Exhibit H'!AD46</f>
        <v>0</v>
      </c>
      <c r="AB22" s="160"/>
      <c r="AC22" s="1700"/>
      <c r="AD22" s="52">
        <f t="shared" si="2"/>
        <v>-2.6</v>
      </c>
      <c r="AE22" s="2"/>
      <c r="AF22" s="2352">
        <f>-ROUND(IF(AA22=0,1,AD22/ABS(AA22)),3)</f>
        <v>-1</v>
      </c>
    </row>
    <row r="23" spans="1:32" ht="18" customHeight="1">
      <c r="A23" s="151" t="s">
        <v>22</v>
      </c>
      <c r="B23" s="152"/>
      <c r="C23" s="152"/>
      <c r="D23" s="178">
        <f>ROUND(SUM(D17:D22),1)</f>
        <v>4089.3</v>
      </c>
      <c r="E23" s="179"/>
      <c r="F23" s="180">
        <f>ROUND(SUM(F17:F22),1)</f>
        <v>4089.3</v>
      </c>
      <c r="G23" s="179"/>
      <c r="H23" s="178">
        <f>ROUND(SUM(H17:H22),1)</f>
        <v>1879.3</v>
      </c>
      <c r="I23" s="179"/>
      <c r="J23" s="178">
        <f>ROUND(SUM(J17:J22),1)</f>
        <v>1879.3</v>
      </c>
      <c r="K23" s="179"/>
      <c r="L23" s="178">
        <f>ROUND(SUM(L17:L22),1)</f>
        <v>3561.8</v>
      </c>
      <c r="M23" s="179"/>
      <c r="N23" s="178">
        <f>ROUND(SUM(N17:N22),1)</f>
        <v>3561.8</v>
      </c>
      <c r="O23" s="181"/>
      <c r="P23" s="197"/>
      <c r="Q23" s="182"/>
      <c r="R23" s="178">
        <f>ROUND(SUM(R17:R22),1)</f>
        <v>9530.4</v>
      </c>
      <c r="S23" s="181"/>
      <c r="T23" s="178">
        <f>ROUND(SUM(T17:T22),1)</f>
        <v>9530.4</v>
      </c>
      <c r="U23" s="199"/>
      <c r="V23" s="199"/>
      <c r="W23" s="1880"/>
      <c r="X23" s="199"/>
      <c r="Y23" s="1881">
        <f>ROUND(SUM(Y17:Y22),1)</f>
        <v>8428.7999999999993</v>
      </c>
      <c r="Z23" s="195"/>
      <c r="AA23" s="1881">
        <f>ROUND(SUM(AA17:AA22),1)</f>
        <v>8428.7999999999993</v>
      </c>
      <c r="AB23" s="200"/>
      <c r="AC23" s="1702"/>
      <c r="AD23" s="1882">
        <f>ROUND(SUM(AD17:AD22),1)</f>
        <v>1101.5999999999999</v>
      </c>
      <c r="AE23" s="69"/>
      <c r="AF23" s="70">
        <f t="shared" si="3"/>
        <v>0.13100000000000001</v>
      </c>
    </row>
    <row r="24" spans="1:32" ht="15.95" customHeight="1">
      <c r="A24" s="151"/>
      <c r="B24" s="152"/>
      <c r="C24" s="152"/>
      <c r="D24" s="993"/>
      <c r="E24" s="166"/>
      <c r="F24" s="167"/>
      <c r="G24" s="166"/>
      <c r="H24" s="993"/>
      <c r="I24" s="166"/>
      <c r="J24" s="167"/>
      <c r="K24" s="166"/>
      <c r="L24" s="993"/>
      <c r="M24" s="166"/>
      <c r="N24" s="167"/>
      <c r="O24" s="167"/>
      <c r="P24" s="1650"/>
      <c r="Q24" s="168"/>
      <c r="R24" s="167"/>
      <c r="S24" s="167"/>
      <c r="T24" s="167"/>
      <c r="U24" s="192"/>
      <c r="V24" s="192"/>
      <c r="W24" s="1655"/>
      <c r="X24" s="192"/>
      <c r="Y24" s="192"/>
      <c r="Z24" s="191"/>
      <c r="AA24" s="192"/>
      <c r="AB24" s="160"/>
      <c r="AC24" s="1700"/>
      <c r="AD24" s="53"/>
      <c r="AE24" s="2"/>
      <c r="AF24" s="19"/>
    </row>
    <row r="25" spans="1:32" ht="15.95" customHeight="1">
      <c r="A25" s="151" t="s">
        <v>23</v>
      </c>
      <c r="B25" s="152"/>
      <c r="C25" s="152"/>
      <c r="D25" s="992"/>
      <c r="E25" s="166"/>
      <c r="F25" s="166"/>
      <c r="G25" s="166"/>
      <c r="H25" s="992"/>
      <c r="I25" s="166"/>
      <c r="J25" s="166"/>
      <c r="K25" s="166"/>
      <c r="L25" s="992"/>
      <c r="M25" s="166"/>
      <c r="N25" s="166"/>
      <c r="O25" s="167"/>
      <c r="P25" s="1650"/>
      <c r="Q25" s="168"/>
      <c r="R25" s="166"/>
      <c r="S25" s="166"/>
      <c r="T25" s="166"/>
      <c r="U25" s="191"/>
      <c r="V25" s="191"/>
      <c r="W25" s="1655"/>
      <c r="X25" s="191"/>
      <c r="Y25" s="191"/>
      <c r="Z25" s="191"/>
      <c r="AA25" s="191"/>
      <c r="AB25" s="160"/>
      <c r="AC25" s="1700"/>
      <c r="AD25" s="52"/>
      <c r="AE25" s="2"/>
      <c r="AF25" s="19"/>
    </row>
    <row r="26" spans="1:32" ht="15.95" customHeight="1">
      <c r="A26" s="152" t="s">
        <v>24</v>
      </c>
      <c r="B26" s="3568" t="s">
        <v>1508</v>
      </c>
      <c r="C26" s="152"/>
      <c r="D26" s="994"/>
      <c r="E26" s="171"/>
      <c r="F26" s="170"/>
      <c r="G26" s="166"/>
      <c r="H26" s="994"/>
      <c r="I26" s="171"/>
      <c r="J26" s="170"/>
      <c r="K26" s="166"/>
      <c r="L26" s="994"/>
      <c r="M26" s="166"/>
      <c r="N26" s="171"/>
      <c r="O26" s="167"/>
      <c r="P26" s="1650"/>
      <c r="Q26" s="168"/>
      <c r="R26" s="171"/>
      <c r="S26" s="171"/>
      <c r="T26" s="171"/>
      <c r="U26" s="191"/>
      <c r="V26" s="191"/>
      <c r="W26" s="1655"/>
      <c r="X26" s="1654"/>
      <c r="Y26" s="191"/>
      <c r="Z26" s="191"/>
      <c r="AA26" s="191"/>
      <c r="AB26" s="160"/>
      <c r="AC26" s="1700"/>
      <c r="AD26" s="1883"/>
      <c r="AE26" s="2"/>
      <c r="AF26" s="74"/>
    </row>
    <row r="27" spans="1:32" ht="18" customHeight="1">
      <c r="A27" s="1447" t="s">
        <v>25</v>
      </c>
      <c r="B27" s="152"/>
      <c r="C27" s="152"/>
      <c r="D27" s="1002">
        <f>+'Exhibit A'!D24</f>
        <v>1179.9000000000001</v>
      </c>
      <c r="E27" s="166"/>
      <c r="F27" s="183">
        <f>+'Exhibit A'!F24</f>
        <v>1179.9000000000001</v>
      </c>
      <c r="G27" s="166"/>
      <c r="H27" s="1002">
        <f>+'Exhibit G state'!D90</f>
        <v>0.1</v>
      </c>
      <c r="I27" s="166"/>
      <c r="J27" s="183">
        <f>+'Exhibit G state'!AD90</f>
        <v>0.1</v>
      </c>
      <c r="K27" s="166"/>
      <c r="L27" s="994">
        <f>+'Exhibit A'!L24</f>
        <v>0</v>
      </c>
      <c r="M27" s="166"/>
      <c r="N27" s="171">
        <f>+'Exhibit A'!N24</f>
        <v>0</v>
      </c>
      <c r="O27" s="174"/>
      <c r="P27" s="1651"/>
      <c r="Q27" s="175"/>
      <c r="R27" s="169">
        <f>ROUND(SUM(D27+H27+L27),1)</f>
        <v>1180</v>
      </c>
      <c r="S27" s="169"/>
      <c r="T27" s="169">
        <f>ROUND(SUM(F27+J27+N27),1)</f>
        <v>1180</v>
      </c>
      <c r="U27" s="191"/>
      <c r="V27" s="191"/>
      <c r="W27" s="1878"/>
      <c r="X27" s="1654"/>
      <c r="Y27" s="191">
        <v>984.1</v>
      </c>
      <c r="Z27" s="191" t="s">
        <v>15</v>
      </c>
      <c r="AA27" s="191">
        <f>+'Exhibit F'!AF100+'Exhibit G state'!AG90</f>
        <v>984.1</v>
      </c>
      <c r="AB27" s="160"/>
      <c r="AC27" s="1700"/>
      <c r="AD27" s="52">
        <f>ROUND(SUM(T27-AA27),1)</f>
        <v>195.9</v>
      </c>
      <c r="AE27" s="2"/>
      <c r="AF27" s="45">
        <f>ROUND(+AD27/AA27,3)</f>
        <v>0.19900000000000001</v>
      </c>
    </row>
    <row r="28" spans="1:32" ht="18" customHeight="1">
      <c r="A28" s="1447" t="s">
        <v>26</v>
      </c>
      <c r="B28" s="176"/>
      <c r="C28" s="152"/>
      <c r="D28" s="1002">
        <f>+'Exhibit A'!D25</f>
        <v>0.4</v>
      </c>
      <c r="E28" s="166"/>
      <c r="F28" s="183">
        <f>+'Exhibit A'!F25</f>
        <v>0.4</v>
      </c>
      <c r="G28" s="166"/>
      <c r="H28" s="1002">
        <f>+'Exhibit G state'!D91</f>
        <v>0</v>
      </c>
      <c r="I28" s="169"/>
      <c r="J28" s="183">
        <f>+'Exhibit G state'!AD91</f>
        <v>0</v>
      </c>
      <c r="K28" s="166"/>
      <c r="L28" s="994">
        <f>+'Exhibit A'!L25</f>
        <v>0</v>
      </c>
      <c r="M28" s="166"/>
      <c r="N28" s="171">
        <f>+'Exhibit A'!N25</f>
        <v>0</v>
      </c>
      <c r="O28" s="174"/>
      <c r="P28" s="1651"/>
      <c r="Q28" s="175"/>
      <c r="R28" s="169">
        <f t="shared" ref="R28:R35" si="4">ROUND(SUM(D28+H28+L28),1)</f>
        <v>0.4</v>
      </c>
      <c r="S28" s="169"/>
      <c r="T28" s="169">
        <f t="shared" ref="T28:T35" si="5">ROUND(SUM(F28+J28+N28),1)</f>
        <v>0.4</v>
      </c>
      <c r="U28" s="191"/>
      <c r="V28" s="191"/>
      <c r="W28" s="1878"/>
      <c r="X28" s="1654"/>
      <c r="Y28" s="191">
        <v>0.3</v>
      </c>
      <c r="Z28" s="191" t="s">
        <v>15</v>
      </c>
      <c r="AA28" s="191">
        <f>+'Exhibit F'!AF101+'Exhibit G state'!AG91</f>
        <v>0.3</v>
      </c>
      <c r="AB28" s="160"/>
      <c r="AC28" s="1700"/>
      <c r="AD28" s="52">
        <f>ROUND(SUM(T28-AA28),1)</f>
        <v>0.1</v>
      </c>
      <c r="AE28" s="2"/>
      <c r="AF28" s="2310">
        <f>ROUND(IF(AA28=0,1,AD28/ABS(AA28)),3)</f>
        <v>0.33300000000000002</v>
      </c>
    </row>
    <row r="29" spans="1:32" ht="18" customHeight="1">
      <c r="A29" s="1447" t="s">
        <v>27</v>
      </c>
      <c r="B29" s="184"/>
      <c r="C29" s="152"/>
      <c r="D29" s="1002">
        <f>+'Exhibit A'!D26</f>
        <v>1.4</v>
      </c>
      <c r="E29" s="166"/>
      <c r="F29" s="183">
        <f>+'Exhibit A'!F26</f>
        <v>1.4</v>
      </c>
      <c r="G29" s="166"/>
      <c r="H29" s="1002">
        <f>+'Exhibit G state'!D92</f>
        <v>10.5</v>
      </c>
      <c r="I29" s="166"/>
      <c r="J29" s="183">
        <f>+'Exhibit G state'!AD92</f>
        <v>10.5</v>
      </c>
      <c r="K29" s="166"/>
      <c r="L29" s="994">
        <f>+'Exhibit A'!L26</f>
        <v>0</v>
      </c>
      <c r="M29" s="166"/>
      <c r="N29" s="171">
        <f>+'Exhibit A'!N26</f>
        <v>0</v>
      </c>
      <c r="O29" s="174"/>
      <c r="P29" s="1651"/>
      <c r="Q29" s="175"/>
      <c r="R29" s="169">
        <f t="shared" si="4"/>
        <v>11.9</v>
      </c>
      <c r="S29" s="169"/>
      <c r="T29" s="169">
        <f t="shared" si="5"/>
        <v>11.9</v>
      </c>
      <c r="U29" s="191"/>
      <c r="V29" s="191"/>
      <c r="W29" s="1878"/>
      <c r="X29" s="1654"/>
      <c r="Y29" s="191">
        <v>17</v>
      </c>
      <c r="Z29" s="191" t="s">
        <v>15</v>
      </c>
      <c r="AA29" s="191">
        <f>+'Exhibit F'!AF102+'Exhibit G state'!AG92</f>
        <v>17</v>
      </c>
      <c r="AB29" s="160"/>
      <c r="AC29" s="1700"/>
      <c r="AD29" s="52">
        <f>ROUND(SUM(T29-AA29),1)</f>
        <v>-5.0999999999999996</v>
      </c>
      <c r="AE29" s="2"/>
      <c r="AF29" s="45">
        <f>ROUND(+AD29/AA29,3)</f>
        <v>-0.3</v>
      </c>
    </row>
    <row r="30" spans="1:32" ht="18" customHeight="1">
      <c r="A30" s="1447" t="s">
        <v>28</v>
      </c>
      <c r="B30" s="184"/>
      <c r="C30" s="152"/>
      <c r="D30" s="1002"/>
      <c r="E30" s="166"/>
      <c r="F30" s="183"/>
      <c r="G30" s="166"/>
      <c r="H30" s="1002"/>
      <c r="I30" s="166"/>
      <c r="J30" s="183"/>
      <c r="K30" s="166"/>
      <c r="L30" s="994"/>
      <c r="M30" s="166"/>
      <c r="N30" s="171"/>
      <c r="O30" s="174"/>
      <c r="P30" s="1651"/>
      <c r="Q30" s="175"/>
      <c r="R30" s="1004" t="s">
        <v>15</v>
      </c>
      <c r="S30" s="169"/>
      <c r="T30" s="1004" t="s">
        <v>15</v>
      </c>
      <c r="U30" s="191"/>
      <c r="V30" s="191"/>
      <c r="W30" s="1878"/>
      <c r="X30" s="1654"/>
      <c r="Y30" s="997"/>
      <c r="Z30" s="191" t="s">
        <v>15</v>
      </c>
      <c r="AA30" s="997" t="s">
        <v>15</v>
      </c>
      <c r="AB30" s="160"/>
      <c r="AC30" s="1700"/>
      <c r="AD30" s="52"/>
      <c r="AE30" s="2"/>
      <c r="AF30" s="45"/>
    </row>
    <row r="31" spans="1:32" ht="18" customHeight="1">
      <c r="A31" s="1448" t="s">
        <v>29</v>
      </c>
      <c r="B31" s="177"/>
      <c r="C31" s="152"/>
      <c r="D31" s="1002">
        <f>+'Exhibit A'!D28</f>
        <v>1515.6</v>
      </c>
      <c r="E31" s="166"/>
      <c r="F31" s="183">
        <f>+'Exhibit A'!F28</f>
        <v>1515.6</v>
      </c>
      <c r="G31" s="166"/>
      <c r="H31" s="1002">
        <f>+'Exhibit G state'!D94</f>
        <v>280.29999999999995</v>
      </c>
      <c r="I31" s="166"/>
      <c r="J31" s="183">
        <f>+'Exhibit G state'!AD94</f>
        <v>280.29999999999995</v>
      </c>
      <c r="K31" s="166"/>
      <c r="L31" s="994">
        <f>+'Exhibit A'!L28</f>
        <v>0</v>
      </c>
      <c r="M31" s="166"/>
      <c r="N31" s="171">
        <f>+'Exhibit A'!N28</f>
        <v>0</v>
      </c>
      <c r="O31" s="174"/>
      <c r="P31" s="1651"/>
      <c r="Q31" s="175"/>
      <c r="R31" s="169">
        <f t="shared" si="4"/>
        <v>1795.9</v>
      </c>
      <c r="S31" s="169"/>
      <c r="T31" s="169">
        <f t="shared" si="5"/>
        <v>1795.9</v>
      </c>
      <c r="U31" s="191"/>
      <c r="V31" s="191"/>
      <c r="W31" s="1878"/>
      <c r="X31" s="1654"/>
      <c r="Y31" s="191">
        <v>1755.6</v>
      </c>
      <c r="Z31" s="191" t="s">
        <v>15</v>
      </c>
      <c r="AA31" s="191">
        <f>+'Exhibit F'!AF104+'Exhibit G state'!AG94</f>
        <v>1755.6000000000001</v>
      </c>
      <c r="AB31" s="160"/>
      <c r="AC31" s="1700"/>
      <c r="AD31" s="52">
        <f t="shared" ref="AD31:AD36" si="6">ROUND(SUM(T31-AA31),1)</f>
        <v>40.299999999999997</v>
      </c>
      <c r="AE31" s="2"/>
      <c r="AF31" s="45">
        <f t="shared" ref="AF31:AF36" si="7">ROUND(+AD31/AA31,3)</f>
        <v>2.3E-2</v>
      </c>
    </row>
    <row r="32" spans="1:32" ht="18" customHeight="1">
      <c r="A32" s="1447" t="s">
        <v>30</v>
      </c>
      <c r="B32" s="184"/>
      <c r="C32" s="152"/>
      <c r="D32" s="1002">
        <f>+'Exhibit A'!D29</f>
        <v>195.29999999999998</v>
      </c>
      <c r="E32" s="166"/>
      <c r="F32" s="183">
        <f>+'Exhibit A'!F29</f>
        <v>195.29999999999998</v>
      </c>
      <c r="G32" s="166"/>
      <c r="H32" s="1002">
        <f>+'Exhibit G state'!D95</f>
        <v>62.800000000000004</v>
      </c>
      <c r="I32" s="166"/>
      <c r="J32" s="183">
        <f>+'Exhibit G state'!AD95</f>
        <v>62.800000000000004</v>
      </c>
      <c r="K32" s="166"/>
      <c r="L32" s="994">
        <f>+'Exhibit A'!L29</f>
        <v>0</v>
      </c>
      <c r="M32" s="166"/>
      <c r="N32" s="171">
        <f>+'Exhibit A'!N29</f>
        <v>0</v>
      </c>
      <c r="O32" s="174"/>
      <c r="P32" s="1651"/>
      <c r="Q32" s="175"/>
      <c r="R32" s="169">
        <f t="shared" si="4"/>
        <v>258.10000000000002</v>
      </c>
      <c r="S32" s="169"/>
      <c r="T32" s="169">
        <f t="shared" si="5"/>
        <v>258.10000000000002</v>
      </c>
      <c r="U32" s="191"/>
      <c r="V32" s="191"/>
      <c r="W32" s="1878"/>
      <c r="X32" s="1654"/>
      <c r="Y32" s="191">
        <v>153.30000000000001</v>
      </c>
      <c r="Z32" s="191" t="s">
        <v>15</v>
      </c>
      <c r="AA32" s="191">
        <f>+'Exhibit F'!AF105+'Exhibit G state'!AG95</f>
        <v>153.30000000000001</v>
      </c>
      <c r="AB32" s="160"/>
      <c r="AC32" s="1700"/>
      <c r="AD32" s="52">
        <f t="shared" si="6"/>
        <v>104.8</v>
      </c>
      <c r="AE32" s="2"/>
      <c r="AF32" s="45">
        <f t="shared" si="7"/>
        <v>0.68400000000000005</v>
      </c>
    </row>
    <row r="33" spans="1:32" ht="18" customHeight="1">
      <c r="A33" s="1447" t="s">
        <v>31</v>
      </c>
      <c r="B33" s="152"/>
      <c r="C33" s="152"/>
      <c r="D33" s="1002">
        <f>+'Exhibit A'!D30</f>
        <v>13.3</v>
      </c>
      <c r="E33" s="166"/>
      <c r="F33" s="183">
        <f>+'Exhibit A'!F30</f>
        <v>13.3</v>
      </c>
      <c r="G33" s="166"/>
      <c r="H33" s="1002">
        <f>+'Exhibit G state'!D96</f>
        <v>11.8</v>
      </c>
      <c r="I33" s="166"/>
      <c r="J33" s="183">
        <f>+'Exhibit G state'!AD96</f>
        <v>11.8</v>
      </c>
      <c r="K33" s="166"/>
      <c r="L33" s="994">
        <f>+'Exhibit A'!L30</f>
        <v>0</v>
      </c>
      <c r="M33" s="166"/>
      <c r="N33" s="171">
        <f>+'Exhibit A'!N30</f>
        <v>0</v>
      </c>
      <c r="O33" s="174"/>
      <c r="P33" s="1651"/>
      <c r="Q33" s="175"/>
      <c r="R33" s="169">
        <f t="shared" si="4"/>
        <v>25.1</v>
      </c>
      <c r="S33" s="169"/>
      <c r="T33" s="169">
        <f t="shared" si="5"/>
        <v>25.1</v>
      </c>
      <c r="U33" s="191"/>
      <c r="V33" s="191"/>
      <c r="W33" s="1878"/>
      <c r="X33" s="1654"/>
      <c r="Y33" s="191">
        <v>17.2</v>
      </c>
      <c r="Z33" s="191" t="s">
        <v>15</v>
      </c>
      <c r="AA33" s="191">
        <f>+'Exhibit F'!AF106+'Exhibit G state'!AG96</f>
        <v>17.2</v>
      </c>
      <c r="AB33" s="160"/>
      <c r="AC33" s="1700"/>
      <c r="AD33" s="52">
        <f t="shared" si="6"/>
        <v>7.9</v>
      </c>
      <c r="AE33" s="2"/>
      <c r="AF33" s="45">
        <f t="shared" si="7"/>
        <v>0.45900000000000002</v>
      </c>
    </row>
    <row r="34" spans="1:32" ht="18" customHeight="1">
      <c r="A34" s="1447" t="s">
        <v>32</v>
      </c>
      <c r="B34" s="152"/>
      <c r="C34" s="152"/>
      <c r="D34" s="1002">
        <f>+'Exhibit A'!D31</f>
        <v>80.8</v>
      </c>
      <c r="E34" s="166"/>
      <c r="F34" s="183">
        <f>+'Exhibit A'!F31</f>
        <v>80.8</v>
      </c>
      <c r="G34" s="166"/>
      <c r="H34" s="1002">
        <f>+'Exhibit G state'!D97</f>
        <v>0.5</v>
      </c>
      <c r="I34" s="166"/>
      <c r="J34" s="183">
        <f>+'Exhibit G state'!AD97</f>
        <v>0.5</v>
      </c>
      <c r="K34" s="166"/>
      <c r="L34" s="994">
        <f>+'Exhibit A'!L31</f>
        <v>0</v>
      </c>
      <c r="M34" s="166"/>
      <c r="N34" s="171">
        <f>+'Exhibit A'!N31</f>
        <v>0</v>
      </c>
      <c r="O34" s="174"/>
      <c r="P34" s="1651"/>
      <c r="Q34" s="175"/>
      <c r="R34" s="169">
        <f t="shared" si="4"/>
        <v>81.3</v>
      </c>
      <c r="S34" s="169"/>
      <c r="T34" s="169">
        <f t="shared" si="5"/>
        <v>81.3</v>
      </c>
      <c r="U34" s="191"/>
      <c r="V34" s="191"/>
      <c r="W34" s="1878"/>
      <c r="X34" s="1654"/>
      <c r="Y34" s="191">
        <v>131.9</v>
      </c>
      <c r="Z34" s="191" t="s">
        <v>15</v>
      </c>
      <c r="AA34" s="191">
        <f>+'Exhibit F'!AF107+'Exhibit G state'!AG97</f>
        <v>131.9</v>
      </c>
      <c r="AB34" s="160"/>
      <c r="AC34" s="1700"/>
      <c r="AD34" s="52">
        <f t="shared" si="6"/>
        <v>-50.6</v>
      </c>
      <c r="AE34" s="2"/>
      <c r="AF34" s="45">
        <f t="shared" si="7"/>
        <v>-0.38400000000000001</v>
      </c>
    </row>
    <row r="35" spans="1:32" ht="18" customHeight="1">
      <c r="A35" s="1447" t="s">
        <v>33</v>
      </c>
      <c r="B35" s="152"/>
      <c r="C35" s="152"/>
      <c r="D35" s="1002">
        <f>+'Exhibit A'!D32</f>
        <v>2.7</v>
      </c>
      <c r="E35" s="166"/>
      <c r="F35" s="183">
        <f>+'Exhibit A'!F32</f>
        <v>2.7</v>
      </c>
      <c r="G35" s="166"/>
      <c r="H35" s="1002">
        <f>+'Exhibit G state'!D98</f>
        <v>0.1</v>
      </c>
      <c r="I35" s="166"/>
      <c r="J35" s="183">
        <f>+'Exhibit G state'!AD98</f>
        <v>0.1</v>
      </c>
      <c r="K35" s="166"/>
      <c r="L35" s="994">
        <f>+'Exhibit A'!L32</f>
        <v>0</v>
      </c>
      <c r="M35" s="166"/>
      <c r="N35" s="171">
        <f>+'Exhibit A'!N32</f>
        <v>0</v>
      </c>
      <c r="O35" s="174"/>
      <c r="P35" s="1651"/>
      <c r="Q35" s="175"/>
      <c r="R35" s="169">
        <f t="shared" si="4"/>
        <v>2.8</v>
      </c>
      <c r="S35" s="169"/>
      <c r="T35" s="169">
        <f t="shared" si="5"/>
        <v>2.8</v>
      </c>
      <c r="U35" s="191"/>
      <c r="V35" s="191"/>
      <c r="W35" s="1878"/>
      <c r="X35" s="1654"/>
      <c r="Y35" s="191">
        <v>10.199999999999999</v>
      </c>
      <c r="Z35" s="191" t="s">
        <v>15</v>
      </c>
      <c r="AA35" s="191">
        <f>+'Exhibit F'!AF108+'Exhibit G state'!AG98</f>
        <v>10.200000000000001</v>
      </c>
      <c r="AB35" s="160"/>
      <c r="AC35" s="1700"/>
      <c r="AD35" s="52">
        <f t="shared" si="6"/>
        <v>-7.4</v>
      </c>
      <c r="AE35" s="2"/>
      <c r="AF35" s="45">
        <f t="shared" si="7"/>
        <v>-0.72499999999999998</v>
      </c>
    </row>
    <row r="36" spans="1:32" ht="18" customHeight="1">
      <c r="A36" s="1447" t="s">
        <v>34</v>
      </c>
      <c r="B36" s="152"/>
      <c r="C36" s="152"/>
      <c r="D36" s="1002">
        <f>+'Exhibit A'!D33</f>
        <v>46.4</v>
      </c>
      <c r="E36" s="166"/>
      <c r="F36" s="183">
        <f>+'Exhibit A'!F33</f>
        <v>46.4</v>
      </c>
      <c r="G36" s="166"/>
      <c r="H36" s="1002">
        <f>+'Exhibit G state'!D99</f>
        <v>189.9</v>
      </c>
      <c r="I36" s="166"/>
      <c r="J36" s="183">
        <f>+'Exhibit G state'!AD99</f>
        <v>189.9</v>
      </c>
      <c r="K36" s="166"/>
      <c r="L36" s="994">
        <f>+'Exhibit A'!L33</f>
        <v>0</v>
      </c>
      <c r="M36" s="166"/>
      <c r="N36" s="171">
        <f>+'Exhibit A'!N33</f>
        <v>0</v>
      </c>
      <c r="O36" s="174"/>
      <c r="P36" s="1651"/>
      <c r="Q36" s="175"/>
      <c r="R36" s="185">
        <f>ROUND(SUM(D36+H36+L36),1)</f>
        <v>236.3</v>
      </c>
      <c r="S36" s="169"/>
      <c r="T36" s="185">
        <f>ROUND(SUM(F36+J36+N36),1)</f>
        <v>236.3</v>
      </c>
      <c r="U36" s="191"/>
      <c r="V36" s="191"/>
      <c r="W36" s="1878"/>
      <c r="X36" s="1654"/>
      <c r="Y36" s="191">
        <v>244.6</v>
      </c>
      <c r="Z36" s="191" t="s">
        <v>15</v>
      </c>
      <c r="AA36" s="192">
        <f>+'Exhibit F'!AF109+'Exhibit G state'!AG99</f>
        <v>244.6</v>
      </c>
      <c r="AB36" s="160"/>
      <c r="AC36" s="1700"/>
      <c r="AD36" s="52">
        <f t="shared" si="6"/>
        <v>-8.3000000000000007</v>
      </c>
      <c r="AE36" s="2"/>
      <c r="AF36" s="45">
        <f t="shared" si="7"/>
        <v>-3.4000000000000002E-2</v>
      </c>
    </row>
    <row r="37" spans="1:32" ht="18" customHeight="1">
      <c r="A37" s="151" t="s">
        <v>35</v>
      </c>
      <c r="B37" s="152"/>
      <c r="C37" s="152"/>
      <c r="D37" s="178">
        <f>ROUND(SUM(D27:D36),1)</f>
        <v>3035.8</v>
      </c>
      <c r="E37" s="179"/>
      <c r="F37" s="178">
        <f>ROUND(SUM(F27:F36),1)</f>
        <v>3035.8</v>
      </c>
      <c r="G37" s="179"/>
      <c r="H37" s="178">
        <f>ROUND(SUM(H27:H36),1)</f>
        <v>556</v>
      </c>
      <c r="I37" s="179"/>
      <c r="J37" s="178">
        <f>ROUND(SUM(J27:J36),1)</f>
        <v>556</v>
      </c>
      <c r="K37" s="179"/>
      <c r="L37" s="186">
        <f>ROUND(SUM(L27:L36),1)</f>
        <v>0</v>
      </c>
      <c r="M37" s="179"/>
      <c r="N37" s="187">
        <f>ROUND(SUM(N27:N36),1)</f>
        <v>0</v>
      </c>
      <c r="O37" s="188"/>
      <c r="P37" s="1652"/>
      <c r="Q37" s="189"/>
      <c r="R37" s="178">
        <f>ROUND(SUM(R27:R36),1)</f>
        <v>3591.8</v>
      </c>
      <c r="S37" s="188"/>
      <c r="T37" s="178">
        <f>ROUND(SUM(T27:T36),1)</f>
        <v>3591.8</v>
      </c>
      <c r="U37" s="199"/>
      <c r="V37" s="199"/>
      <c r="W37" s="1884"/>
      <c r="X37" s="1885"/>
      <c r="Y37" s="1881">
        <f>ROUND(SUM(Y27:Y36),1)</f>
        <v>3314.2</v>
      </c>
      <c r="Z37" s="195"/>
      <c r="AA37" s="1881">
        <f>ROUND(SUM(AA27:AA36),1)</f>
        <v>3314.2</v>
      </c>
      <c r="AB37" s="200"/>
      <c r="AC37" s="1702"/>
      <c r="AD37" s="1882">
        <f>ROUND(SUM(AD27:AD36),1)</f>
        <v>277.60000000000002</v>
      </c>
      <c r="AE37" s="69"/>
      <c r="AF37" s="70">
        <f>ROUND(+AD37/AA37,3)</f>
        <v>8.4000000000000005E-2</v>
      </c>
    </row>
    <row r="38" spans="1:32" ht="18" customHeight="1">
      <c r="A38" s="152" t="s">
        <v>36</v>
      </c>
      <c r="B38" s="184"/>
      <c r="C38" s="152"/>
      <c r="D38" s="992"/>
      <c r="E38" s="166"/>
      <c r="F38" s="166"/>
      <c r="G38" s="166"/>
      <c r="H38" s="992"/>
      <c r="I38" s="166"/>
      <c r="J38" s="166"/>
      <c r="K38" s="166"/>
      <c r="L38" s="992"/>
      <c r="M38" s="166"/>
      <c r="N38" s="166"/>
      <c r="O38" s="167"/>
      <c r="P38" s="1650"/>
      <c r="Q38" s="168"/>
      <c r="R38" s="166"/>
      <c r="S38" s="166"/>
      <c r="T38" s="166"/>
      <c r="U38" s="191"/>
      <c r="V38" s="191"/>
      <c r="W38" s="1655"/>
      <c r="X38" s="191"/>
      <c r="Y38" s="191"/>
      <c r="Z38" s="191"/>
      <c r="AA38" s="191"/>
      <c r="AB38" s="160"/>
      <c r="AC38" s="1700"/>
      <c r="AD38" s="52"/>
      <c r="AE38" s="2"/>
      <c r="AF38" s="19"/>
    </row>
    <row r="39" spans="1:32" ht="18" customHeight="1">
      <c r="A39" s="152" t="s">
        <v>37</v>
      </c>
      <c r="B39" s="176"/>
      <c r="C39" s="152"/>
      <c r="D39" s="992">
        <f>+'Exhibit A'!D36</f>
        <v>667.9</v>
      </c>
      <c r="E39" s="166"/>
      <c r="F39" s="183">
        <f>+'Exhibit A'!F36</f>
        <v>667.9</v>
      </c>
      <c r="G39" s="166"/>
      <c r="H39" s="992">
        <f>+'Exhibit G state'!D102</f>
        <v>382.9</v>
      </c>
      <c r="I39" s="166"/>
      <c r="J39" s="183">
        <f>+'Exhibit G state'!AD102</f>
        <v>382.9</v>
      </c>
      <c r="K39" s="166"/>
      <c r="L39" s="995">
        <f>+'Exhibit A'!L36</f>
        <v>0</v>
      </c>
      <c r="M39" s="169"/>
      <c r="N39" s="171">
        <f>+'Exhibit A'!N36</f>
        <v>0</v>
      </c>
      <c r="O39" s="174"/>
      <c r="P39" s="1651"/>
      <c r="Q39" s="175"/>
      <c r="R39" s="169">
        <f>ROUND(SUM(D39+H39+L39),1)</f>
        <v>1050.8</v>
      </c>
      <c r="S39" s="171"/>
      <c r="T39" s="166">
        <f>ROUND(SUM(F39+J39+N39),1)</f>
        <v>1050.8</v>
      </c>
      <c r="U39" s="191"/>
      <c r="V39" s="191"/>
      <c r="W39" s="1878"/>
      <c r="X39" s="1654"/>
      <c r="Y39" s="191">
        <v>1049.8</v>
      </c>
      <c r="Z39" s="191" t="s">
        <v>15</v>
      </c>
      <c r="AA39" s="191">
        <f>+'Exhibit F'!AF112+'Exhibit G state'!AG102</f>
        <v>1049.8</v>
      </c>
      <c r="AB39" s="160"/>
      <c r="AC39" s="1700"/>
      <c r="AD39" s="52">
        <f t="shared" ref="AD39:AD44" si="8">ROUND(SUM(T39-AA39),1)</f>
        <v>1</v>
      </c>
      <c r="AE39" s="2"/>
      <c r="AF39" s="45">
        <f>ROUND(+AD39/AA39,3)</f>
        <v>1E-3</v>
      </c>
    </row>
    <row r="40" spans="1:32" ht="18" customHeight="1">
      <c r="A40" s="152" t="s">
        <v>38</v>
      </c>
      <c r="B40" s="184"/>
      <c r="C40" s="152"/>
      <c r="D40" s="992">
        <f>+'Exhibit A'!D37</f>
        <v>163.69999999999999</v>
      </c>
      <c r="E40" s="166"/>
      <c r="F40" s="183">
        <f>+'Exhibit A'!F37</f>
        <v>163.69999999999999</v>
      </c>
      <c r="G40" s="166"/>
      <c r="H40" s="992">
        <f>+'Exhibit G state'!D103</f>
        <v>182.7</v>
      </c>
      <c r="I40" s="166"/>
      <c r="J40" s="183">
        <f>+'Exhibit G state'!AD103</f>
        <v>182.7</v>
      </c>
      <c r="K40" s="166"/>
      <c r="L40" s="995">
        <f>+'Exhibit A'!L37</f>
        <v>0.8</v>
      </c>
      <c r="M40" s="169"/>
      <c r="N40" s="171">
        <f>+'Exhibit A'!N37</f>
        <v>0.8</v>
      </c>
      <c r="O40" s="167"/>
      <c r="P40" s="1650"/>
      <c r="Q40" s="168"/>
      <c r="R40" s="169">
        <f>ROUND(SUM(D40+H40+L40),1)</f>
        <v>347.2</v>
      </c>
      <c r="S40" s="171"/>
      <c r="T40" s="166">
        <f>ROUND(SUM(F40+J40+N40),1)</f>
        <v>347.2</v>
      </c>
      <c r="U40" s="191"/>
      <c r="V40" s="191"/>
      <c r="W40" s="1655"/>
      <c r="X40" s="191"/>
      <c r="Y40" s="191">
        <v>321.60000000000002</v>
      </c>
      <c r="Z40" s="191" t="s">
        <v>15</v>
      </c>
      <c r="AA40" s="191">
        <f>+'Exhibit F'!AF113+'Exhibit G state'!AG103+'Exhibit H'!AD52</f>
        <v>321.59999999999997</v>
      </c>
      <c r="AB40" s="160"/>
      <c r="AC40" s="1700"/>
      <c r="AD40" s="52">
        <f t="shared" si="8"/>
        <v>25.6</v>
      </c>
      <c r="AE40" s="2"/>
      <c r="AF40" s="45">
        <f>ROUND(+AD40/AA40,3)</f>
        <v>0.08</v>
      </c>
    </row>
    <row r="41" spans="1:32" ht="18" customHeight="1">
      <c r="A41" s="152" t="s">
        <v>39</v>
      </c>
      <c r="B41" s="161"/>
      <c r="C41" s="152"/>
      <c r="D41" s="992">
        <f>+'Exhibit A'!D38</f>
        <v>2706.6</v>
      </c>
      <c r="E41" s="166"/>
      <c r="F41" s="183">
        <f>+'Exhibit A'!F38</f>
        <v>2706.6</v>
      </c>
      <c r="G41" s="166"/>
      <c r="H41" s="992">
        <f>+'Exhibit G state'!D104</f>
        <v>119.5</v>
      </c>
      <c r="I41" s="166"/>
      <c r="J41" s="183">
        <f>+'Exhibit G state'!AD104</f>
        <v>119.5</v>
      </c>
      <c r="K41" s="166"/>
      <c r="L41" s="995">
        <f>+'Exhibit A'!L38</f>
        <v>0</v>
      </c>
      <c r="M41" s="166"/>
      <c r="N41" s="171">
        <f>+'Exhibit A'!N38</f>
        <v>0</v>
      </c>
      <c r="O41" s="174"/>
      <c r="P41" s="1651"/>
      <c r="Q41" s="175"/>
      <c r="R41" s="169">
        <f>ROUND(SUM(D41+H41+L41),1)</f>
        <v>2826.1</v>
      </c>
      <c r="S41" s="171"/>
      <c r="T41" s="166">
        <f>ROUND(SUM(F41+J41+N41),1)</f>
        <v>2826.1</v>
      </c>
      <c r="U41" s="191"/>
      <c r="V41" s="191"/>
      <c r="W41" s="1878"/>
      <c r="X41" s="1654"/>
      <c r="Y41" s="191">
        <v>2452.3000000000002</v>
      </c>
      <c r="Z41" s="191" t="s">
        <v>15</v>
      </c>
      <c r="AA41" s="191">
        <f>+'Exhibit F'!AF114+'Exhibit G state'!AG104</f>
        <v>2452.2999999999997</v>
      </c>
      <c r="AB41" s="160"/>
      <c r="AC41" s="1700"/>
      <c r="AD41" s="52">
        <f t="shared" si="8"/>
        <v>373.8</v>
      </c>
      <c r="AE41" s="2"/>
      <c r="AF41" s="45">
        <f>ROUND(+AD41/AA41,3)</f>
        <v>0.152</v>
      </c>
    </row>
    <row r="42" spans="1:32" ht="18" customHeight="1">
      <c r="A42" s="152" t="s">
        <v>40</v>
      </c>
      <c r="B42" s="152"/>
      <c r="C42" s="152"/>
      <c r="D42" s="992"/>
      <c r="E42" s="166"/>
      <c r="F42" s="166"/>
      <c r="G42" s="166"/>
      <c r="H42" s="992"/>
      <c r="I42" s="166"/>
      <c r="J42" s="166"/>
      <c r="K42" s="166"/>
      <c r="L42" s="992"/>
      <c r="M42" s="166"/>
      <c r="N42" s="166"/>
      <c r="O42" s="167"/>
      <c r="P42" s="1650"/>
      <c r="Q42" s="168"/>
      <c r="R42" s="1004" t="s">
        <v>15</v>
      </c>
      <c r="S42" s="166"/>
      <c r="T42" s="992" t="s">
        <v>15</v>
      </c>
      <c r="U42" s="191"/>
      <c r="V42" s="191"/>
      <c r="W42" s="1655"/>
      <c r="X42" s="191"/>
      <c r="Y42" s="997"/>
      <c r="Z42" s="191"/>
      <c r="AA42" s="997" t="s">
        <v>15</v>
      </c>
      <c r="AB42" s="160"/>
      <c r="AC42" s="1700"/>
      <c r="AD42" s="52"/>
      <c r="AE42" s="2"/>
      <c r="AF42" s="45"/>
    </row>
    <row r="43" spans="1:32" ht="18" customHeight="1">
      <c r="A43" s="152" t="s">
        <v>41</v>
      </c>
      <c r="B43" s="176"/>
      <c r="C43" s="152"/>
      <c r="D43" s="995">
        <v>0</v>
      </c>
      <c r="E43" s="166"/>
      <c r="F43" s="171">
        <v>0</v>
      </c>
      <c r="G43" s="166"/>
      <c r="H43" s="995">
        <v>0</v>
      </c>
      <c r="I43" s="166"/>
      <c r="J43" s="171">
        <v>0</v>
      </c>
      <c r="K43" s="166"/>
      <c r="L43" s="995">
        <f>+'Exhibit A'!L40</f>
        <v>64.099999999999994</v>
      </c>
      <c r="M43" s="169"/>
      <c r="N43" s="171">
        <f>+'Exhibit A'!N40</f>
        <v>64.099999999999994</v>
      </c>
      <c r="O43" s="167"/>
      <c r="P43" s="1650"/>
      <c r="Q43" s="168"/>
      <c r="R43" s="169">
        <f>ROUND(SUM(D43+H43+L43),1)</f>
        <v>64.099999999999994</v>
      </c>
      <c r="S43" s="166"/>
      <c r="T43" s="166">
        <f>ROUND(SUM(F43+J43+N43),1)</f>
        <v>64.099999999999994</v>
      </c>
      <c r="U43" s="191"/>
      <c r="V43" s="191"/>
      <c r="W43" s="1655"/>
      <c r="X43" s="191"/>
      <c r="Y43" s="191">
        <v>87.2</v>
      </c>
      <c r="Z43" s="191" t="s">
        <v>15</v>
      </c>
      <c r="AA43" s="191">
        <f>+'Exhibit H'!AD54</f>
        <v>87.2</v>
      </c>
      <c r="AB43" s="160"/>
      <c r="AC43" s="1700"/>
      <c r="AD43" s="52">
        <f t="shared" si="8"/>
        <v>-23.1</v>
      </c>
      <c r="AE43" s="2"/>
      <c r="AF43" s="45">
        <f>ROUND(+AD43/AA43,3)</f>
        <v>-0.26500000000000001</v>
      </c>
    </row>
    <row r="44" spans="1:32" ht="18" customHeight="1">
      <c r="A44" s="152" t="s">
        <v>42</v>
      </c>
      <c r="B44" s="3568"/>
      <c r="C44" s="152"/>
      <c r="D44" s="1003">
        <v>0</v>
      </c>
      <c r="E44" s="169"/>
      <c r="F44" s="174">
        <v>0</v>
      </c>
      <c r="G44" s="166"/>
      <c r="H44" s="992">
        <f>+'Exhibit G state'!D105</f>
        <v>0</v>
      </c>
      <c r="I44" s="166"/>
      <c r="J44" s="183">
        <f>+'Exhibit G state'!AD105</f>
        <v>0</v>
      </c>
      <c r="K44" s="166"/>
      <c r="L44" s="995">
        <f>+'Exhibit A'!L41</f>
        <v>0</v>
      </c>
      <c r="M44" s="171"/>
      <c r="N44" s="171">
        <f>+'Exhibit A'!N41</f>
        <v>0</v>
      </c>
      <c r="O44" s="174"/>
      <c r="P44" s="1651"/>
      <c r="Q44" s="175"/>
      <c r="R44" s="166">
        <f>ROUND(SUM(D44+H44+L44),1)</f>
        <v>0</v>
      </c>
      <c r="S44" s="174"/>
      <c r="T44" s="166">
        <f>ROUND(SUM(F44+J44+N44),1)</f>
        <v>0</v>
      </c>
      <c r="U44" s="191"/>
      <c r="V44" s="191"/>
      <c r="W44" s="1878"/>
      <c r="X44" s="1879"/>
      <c r="Y44" s="191">
        <v>0</v>
      </c>
      <c r="Z44" s="191" t="s">
        <v>15</v>
      </c>
      <c r="AA44" s="191">
        <f>'Exhibit G state'!AG105</f>
        <v>0</v>
      </c>
      <c r="AB44" s="160"/>
      <c r="AC44" s="1700"/>
      <c r="AD44" s="52">
        <f t="shared" si="8"/>
        <v>0</v>
      </c>
      <c r="AE44" s="2"/>
      <c r="AF44" s="2310">
        <f>ROUND(IF(AA44=0,0,AD44/ABS(AA44)),3)</f>
        <v>0</v>
      </c>
    </row>
    <row r="45" spans="1:32" ht="18" customHeight="1">
      <c r="A45" s="151" t="s">
        <v>59</v>
      </c>
      <c r="B45" s="152"/>
      <c r="C45" s="152"/>
      <c r="D45" s="178">
        <f>ROUND(SUM(+D39+D40+D41+D37),1)</f>
        <v>6574</v>
      </c>
      <c r="E45" s="179"/>
      <c r="F45" s="178">
        <f>ROUND(SUM(+F39+F40+F41+F37),1)</f>
        <v>6574</v>
      </c>
      <c r="G45" s="179"/>
      <c r="H45" s="178">
        <f>ROUND(SUM(H37:H44),1)</f>
        <v>1241.0999999999999</v>
      </c>
      <c r="I45" s="179"/>
      <c r="J45" s="178">
        <f>ROUND(SUM(J37:J44),1)</f>
        <v>1241.0999999999999</v>
      </c>
      <c r="K45" s="179"/>
      <c r="L45" s="178">
        <f>ROUND(SUM(L37:L44),1)</f>
        <v>64.900000000000006</v>
      </c>
      <c r="M45" s="179"/>
      <c r="N45" s="178">
        <f>ROUND(SUM(N37:N44),1)</f>
        <v>64.900000000000006</v>
      </c>
      <c r="O45" s="181"/>
      <c r="P45" s="197"/>
      <c r="Q45" s="182"/>
      <c r="R45" s="178">
        <f>ROUND(SUM(R37:R44),1)</f>
        <v>7880</v>
      </c>
      <c r="S45" s="181"/>
      <c r="T45" s="178">
        <f>ROUND(SUM(T37:T44),1)</f>
        <v>7880</v>
      </c>
      <c r="U45" s="199"/>
      <c r="V45" s="199"/>
      <c r="W45" s="1880"/>
      <c r="X45" s="199"/>
      <c r="Y45" s="1881">
        <f>ROUND(SUM(Y37:Y44),1)</f>
        <v>7225.1</v>
      </c>
      <c r="Z45" s="195"/>
      <c r="AA45" s="1881">
        <f>ROUND(SUM(AA37:AA44),1)</f>
        <v>7225.1</v>
      </c>
      <c r="AB45" s="200"/>
      <c r="AC45" s="1702"/>
      <c r="AD45" s="2589">
        <f>ROUND(SUM(AD37:AD44),1)</f>
        <v>654.9</v>
      </c>
      <c r="AE45" s="69"/>
      <c r="AF45" s="2328">
        <f>ROUND(+AD45/AA45,3)</f>
        <v>9.0999999999999998E-2</v>
      </c>
    </row>
    <row r="46" spans="1:32" ht="15.95" customHeight="1">
      <c r="A46" s="151"/>
      <c r="B46" s="152"/>
      <c r="C46" s="152"/>
      <c r="D46" s="993"/>
      <c r="E46" s="166"/>
      <c r="F46" s="167"/>
      <c r="G46" s="166"/>
      <c r="H46" s="993"/>
      <c r="I46" s="166"/>
      <c r="J46" s="167"/>
      <c r="K46" s="166"/>
      <c r="L46" s="993"/>
      <c r="M46" s="166"/>
      <c r="N46" s="167"/>
      <c r="O46" s="167"/>
      <c r="P46" s="1650"/>
      <c r="Q46" s="168"/>
      <c r="R46" s="167"/>
      <c r="S46" s="167"/>
      <c r="T46" s="167"/>
      <c r="U46" s="192"/>
      <c r="V46" s="192"/>
      <c r="W46" s="1655"/>
      <c r="X46" s="192"/>
      <c r="Y46" s="192"/>
      <c r="Z46" s="191"/>
      <c r="AA46" s="192"/>
      <c r="AB46" s="160"/>
      <c r="AC46" s="1700"/>
      <c r="AD46" s="53"/>
      <c r="AE46" s="2"/>
      <c r="AF46" s="19"/>
    </row>
    <row r="47" spans="1:32" ht="15.95" customHeight="1">
      <c r="A47" s="151" t="s">
        <v>44</v>
      </c>
      <c r="B47" s="151"/>
      <c r="C47" s="152"/>
      <c r="D47" s="992"/>
      <c r="E47" s="166"/>
      <c r="F47" s="166"/>
      <c r="G47" s="166"/>
      <c r="H47" s="992"/>
      <c r="I47" s="166"/>
      <c r="J47" s="166"/>
      <c r="K47" s="166"/>
      <c r="L47" s="992"/>
      <c r="M47" s="166"/>
      <c r="N47" s="166"/>
      <c r="O47" s="167"/>
      <c r="P47" s="1650"/>
      <c r="Q47" s="168"/>
      <c r="R47" s="166"/>
      <c r="S47" s="166"/>
      <c r="T47" s="166"/>
      <c r="U47" s="191"/>
      <c r="V47" s="191"/>
      <c r="W47" s="1655"/>
      <c r="X47" s="191"/>
      <c r="Y47" s="191"/>
      <c r="Z47" s="191"/>
      <c r="AA47" s="191"/>
      <c r="AB47" s="160"/>
      <c r="AC47" s="1700"/>
      <c r="AD47" s="52"/>
      <c r="AE47" s="2"/>
      <c r="AF47" s="19"/>
    </row>
    <row r="48" spans="1:32" ht="15.95" customHeight="1">
      <c r="A48" s="151" t="s">
        <v>45</v>
      </c>
      <c r="B48" s="151"/>
      <c r="C48" s="152"/>
      <c r="D48" s="190">
        <f>ROUND(SUM(D23-D45),1)</f>
        <v>-2484.6999999999998</v>
      </c>
      <c r="E48" s="179"/>
      <c r="F48" s="190">
        <f>ROUND(SUM(F23-F45),1)</f>
        <v>-2484.6999999999998</v>
      </c>
      <c r="G48" s="179"/>
      <c r="H48" s="190">
        <f>ROUND(SUM(H23-H45),1)</f>
        <v>638.20000000000005</v>
      </c>
      <c r="I48" s="179"/>
      <c r="J48" s="190">
        <f>ROUND(SUM(J23-J45),1)</f>
        <v>638.20000000000005</v>
      </c>
      <c r="K48" s="179"/>
      <c r="L48" s="190">
        <f>ROUND(SUM(L23-L45),1)</f>
        <v>3496.9</v>
      </c>
      <c r="M48" s="179" t="s">
        <v>15</v>
      </c>
      <c r="N48" s="190">
        <f>ROUND(SUM(N23-N45),1)</f>
        <v>3496.9</v>
      </c>
      <c r="O48" s="181"/>
      <c r="P48" s="197"/>
      <c r="Q48" s="182"/>
      <c r="R48" s="190">
        <f>ROUND(SUM(+R23-R45),1)</f>
        <v>1650.4</v>
      </c>
      <c r="S48" s="181"/>
      <c r="T48" s="190">
        <f>ROUND(SUM(+T23-T45),1)</f>
        <v>1650.4</v>
      </c>
      <c r="U48" s="199"/>
      <c r="V48" s="199"/>
      <c r="W48" s="1880"/>
      <c r="X48" s="199"/>
      <c r="Y48" s="1804">
        <f>ROUND(SUM(Y23-Y45),1)</f>
        <v>1203.7</v>
      </c>
      <c r="Z48" s="195" t="s">
        <v>15</v>
      </c>
      <c r="AA48" s="1804">
        <f>ROUND(SUM(AA23-AA45),1)</f>
        <v>1203.7</v>
      </c>
      <c r="AB48" s="200"/>
      <c r="AC48" s="1702"/>
      <c r="AD48" s="1804">
        <f>ROUND(SUM(AD23-AD45),1)</f>
        <v>446.7</v>
      </c>
      <c r="AE48" s="89"/>
      <c r="AF48" s="2344">
        <f>ROUND(+AD48/AA48,3)</f>
        <v>0.371</v>
      </c>
    </row>
    <row r="49" spans="1:32" ht="15.95" customHeight="1">
      <c r="A49" s="152"/>
      <c r="B49" s="152"/>
      <c r="C49" s="152"/>
      <c r="D49" s="993"/>
      <c r="E49" s="166"/>
      <c r="F49" s="167"/>
      <c r="G49" s="166"/>
      <c r="H49" s="993"/>
      <c r="I49" s="166"/>
      <c r="J49" s="167"/>
      <c r="K49" s="166"/>
      <c r="L49" s="993"/>
      <c r="M49" s="166"/>
      <c r="N49" s="167"/>
      <c r="O49" s="167"/>
      <c r="P49" s="1650"/>
      <c r="Q49" s="168"/>
      <c r="R49" s="167"/>
      <c r="S49" s="167"/>
      <c r="T49" s="167"/>
      <c r="U49" s="192"/>
      <c r="V49" s="192"/>
      <c r="W49" s="1655"/>
      <c r="X49" s="192"/>
      <c r="Y49" s="192"/>
      <c r="Z49" s="191"/>
      <c r="AA49" s="192"/>
      <c r="AB49" s="160"/>
      <c r="AC49" s="1700"/>
      <c r="AD49" s="53"/>
      <c r="AE49" s="2"/>
      <c r="AF49" s="19"/>
    </row>
    <row r="50" spans="1:32" ht="15.95" customHeight="1">
      <c r="A50" s="151" t="s">
        <v>46</v>
      </c>
      <c r="B50" s="151"/>
      <c r="C50" s="152"/>
      <c r="D50" s="992"/>
      <c r="E50" s="166"/>
      <c r="F50" s="166"/>
      <c r="G50" s="166"/>
      <c r="H50" s="992"/>
      <c r="I50" s="166"/>
      <c r="J50" s="166"/>
      <c r="K50" s="166"/>
      <c r="L50" s="992"/>
      <c r="M50" s="166"/>
      <c r="N50" s="166"/>
      <c r="O50" s="167"/>
      <c r="P50" s="1650"/>
      <c r="Q50" s="168"/>
      <c r="R50" s="166"/>
      <c r="S50" s="166"/>
      <c r="T50" s="166"/>
      <c r="U50" s="191"/>
      <c r="V50" s="191"/>
      <c r="W50" s="1655"/>
      <c r="X50" s="191"/>
      <c r="Y50" s="191"/>
      <c r="Z50" s="191"/>
      <c r="AA50" s="191"/>
      <c r="AB50" s="160"/>
      <c r="AC50" s="1700"/>
      <c r="AD50" s="52"/>
      <c r="AE50" s="2"/>
      <c r="AF50" s="19"/>
    </row>
    <row r="51" spans="1:32" ht="18" customHeight="1">
      <c r="A51" s="172" t="s">
        <v>48</v>
      </c>
      <c r="B51" s="2525" t="s">
        <v>1383</v>
      </c>
      <c r="C51" s="172"/>
      <c r="D51" s="997">
        <f>+'Exhibit A'!D49</f>
        <v>3539</v>
      </c>
      <c r="E51" s="166"/>
      <c r="F51" s="166">
        <f>+'Exhibit A'!F49</f>
        <v>3539</v>
      </c>
      <c r="G51" s="191"/>
      <c r="H51" s="997">
        <f>+'Exhibit G state'!D113</f>
        <v>381.9</v>
      </c>
      <c r="I51" s="191"/>
      <c r="J51" s="166">
        <f>+'Exhibit G state'!AD113</f>
        <v>381.9</v>
      </c>
      <c r="K51" s="192"/>
      <c r="L51" s="996">
        <f>+'Exhibit A'!L49</f>
        <v>226.4</v>
      </c>
      <c r="M51" s="192"/>
      <c r="N51" s="174">
        <f>+'Exhibit A'!N49</f>
        <v>226.4</v>
      </c>
      <c r="O51" s="167"/>
      <c r="P51" s="1650"/>
      <c r="Q51" s="168"/>
      <c r="R51" s="171">
        <f>ROUND(SUM(L51+H51+D51),1)</f>
        <v>4147.3</v>
      </c>
      <c r="S51" s="166"/>
      <c r="T51" s="171">
        <f>ROUND(SUM(F51+J51+N51),1)</f>
        <v>4147.3</v>
      </c>
      <c r="U51" s="191"/>
      <c r="V51" s="191"/>
      <c r="W51" s="1655"/>
      <c r="X51" s="191"/>
      <c r="Y51" s="191">
        <v>3168.6</v>
      </c>
      <c r="Z51" s="191" t="s">
        <v>15</v>
      </c>
      <c r="AA51" s="191">
        <f>'Exhibit F'!AF123+'Exhibit F'!AF124+'Exhibit F'!AF125+'Exhibit F'!AF126+'Exhibit G state'!AG113+'Exhibit H'!AD63</f>
        <v>3168.6</v>
      </c>
      <c r="AB51" s="160"/>
      <c r="AC51" s="1700"/>
      <c r="AD51" s="52">
        <f>ROUND(SUM(T51-AA51),1)</f>
        <v>978.7</v>
      </c>
      <c r="AE51" s="94"/>
      <c r="AF51" s="45">
        <f>ROUND(SUM(+AD51/AA51),3)</f>
        <v>0.309</v>
      </c>
    </row>
    <row r="52" spans="1:32" ht="18" customHeight="1">
      <c r="A52" s="172" t="s">
        <v>49</v>
      </c>
      <c r="B52" s="2525" t="s">
        <v>1383</v>
      </c>
      <c r="C52" s="172"/>
      <c r="D52" s="997">
        <f>+'Exhibit A'!D50</f>
        <v>-561.79999999999995</v>
      </c>
      <c r="E52" s="191"/>
      <c r="F52" s="166">
        <f>+'Exhibit A'!F50</f>
        <v>-561.79999999999995</v>
      </c>
      <c r="G52" s="191"/>
      <c r="H52" s="997">
        <f>+'Exhibit G state'!D114</f>
        <v>74.400000000000006</v>
      </c>
      <c r="I52" s="191"/>
      <c r="J52" s="169">
        <f>'Exhibit G state'!AD114</f>
        <v>74.400000000000006</v>
      </c>
      <c r="K52" s="191"/>
      <c r="L52" s="996">
        <f>+'Exhibit A'!L50</f>
        <v>-3529.7</v>
      </c>
      <c r="M52" s="192"/>
      <c r="N52" s="174">
        <f>+'Exhibit A'!N50</f>
        <v>-3529.7</v>
      </c>
      <c r="O52" s="192"/>
      <c r="P52" s="1650"/>
      <c r="Q52" s="193"/>
      <c r="R52" s="169">
        <f>ROUND(SUM(D52+H52+L52),1)</f>
        <v>-4017.1</v>
      </c>
      <c r="S52" s="192"/>
      <c r="T52" s="166">
        <f>ROUND(SUM(F52+J52+N52),1)</f>
        <v>-4017.1</v>
      </c>
      <c r="U52" s="191"/>
      <c r="V52" s="191"/>
      <c r="W52" s="1655"/>
      <c r="X52" s="192"/>
      <c r="Y52" s="191">
        <v>-3361.2</v>
      </c>
      <c r="Z52" s="191" t="s">
        <v>15</v>
      </c>
      <c r="AA52" s="191">
        <f>'Exhibit F'!AF127+'Exhibit F'!AF128+'Exhibit F'!AF129+'Exhibit F'!AF130+'Exhibit F'!AF131+'Exhibit G state'!AG114+'Exhibit H'!AD64</f>
        <v>-3361.2</v>
      </c>
      <c r="AB52" s="160"/>
      <c r="AC52" s="1700"/>
      <c r="AD52" s="96">
        <f>-ROUND(SUM(T52-AA52),1)</f>
        <v>655.9</v>
      </c>
      <c r="AE52" s="2"/>
      <c r="AF52" s="100">
        <f>ROUND(SUM(-AD52/AA52),3)</f>
        <v>0.19500000000000001</v>
      </c>
    </row>
    <row r="53" spans="1:32" ht="18" customHeight="1">
      <c r="A53" s="151" t="s">
        <v>50</v>
      </c>
      <c r="B53" s="151"/>
      <c r="C53" s="152"/>
      <c r="D53" s="178">
        <f>ROUND(SUM(D51:D52),1)</f>
        <v>2977.2</v>
      </c>
      <c r="E53" s="179"/>
      <c r="F53" s="178">
        <f>ROUND(SUM(F51:F52),1)</f>
        <v>2977.2</v>
      </c>
      <c r="G53" s="179"/>
      <c r="H53" s="178">
        <f>ROUND(SUM(H51:H52),1)</f>
        <v>456.3</v>
      </c>
      <c r="I53" s="179"/>
      <c r="J53" s="178">
        <f>ROUND(SUM(J51:J52),1)</f>
        <v>456.3</v>
      </c>
      <c r="K53" s="179"/>
      <c r="L53" s="178">
        <f>ROUND(SUM(L51:L52),1)</f>
        <v>-3303.3</v>
      </c>
      <c r="M53" s="179"/>
      <c r="N53" s="178">
        <f>ROUND(SUM(N51:N52),1)</f>
        <v>-3303.3</v>
      </c>
      <c r="O53" s="181"/>
      <c r="P53" s="197"/>
      <c r="Q53" s="182"/>
      <c r="R53" s="178">
        <f>ROUND(SUM(R51:R52),1)</f>
        <v>130.19999999999999</v>
      </c>
      <c r="S53" s="181"/>
      <c r="T53" s="178">
        <f>ROUND(SUM(T51:T52),1)</f>
        <v>130.19999999999999</v>
      </c>
      <c r="U53" s="199"/>
      <c r="V53" s="199"/>
      <c r="W53" s="1880"/>
      <c r="X53" s="199"/>
      <c r="Y53" s="3392">
        <f>ROUND(SUM(+Y51+Y52),1)</f>
        <v>-192.6</v>
      </c>
      <c r="Z53" s="195"/>
      <c r="AA53" s="1886">
        <f>ROUND(SUM(+AA51+AA52),1)</f>
        <v>-192.6</v>
      </c>
      <c r="AB53" s="200"/>
      <c r="AC53" s="1702"/>
      <c r="AD53" s="1886">
        <f>ROUND(SUM(+AD51-AD52),1)</f>
        <v>322.8</v>
      </c>
      <c r="AE53" s="69"/>
      <c r="AF53" s="2312">
        <f>-ROUND(SUM(AD53/AA53),3)</f>
        <v>1.6759999999999999</v>
      </c>
    </row>
    <row r="54" spans="1:32" ht="15.95" customHeight="1">
      <c r="A54" s="152"/>
      <c r="B54" s="152"/>
      <c r="C54" s="152"/>
      <c r="D54" s="993"/>
      <c r="E54" s="166"/>
      <c r="F54" s="167"/>
      <c r="G54" s="166"/>
      <c r="H54" s="993"/>
      <c r="I54" s="166"/>
      <c r="J54" s="167"/>
      <c r="K54" s="166"/>
      <c r="L54" s="993"/>
      <c r="M54" s="166"/>
      <c r="N54" s="167"/>
      <c r="O54" s="167"/>
      <c r="P54" s="1650"/>
      <c r="Q54" s="168"/>
      <c r="R54" s="167"/>
      <c r="S54" s="167"/>
      <c r="T54" s="167"/>
      <c r="U54" s="192"/>
      <c r="V54" s="192"/>
      <c r="W54" s="1655"/>
      <c r="X54" s="192"/>
      <c r="Y54" s="192"/>
      <c r="Z54" s="191"/>
      <c r="AA54" s="192"/>
      <c r="AB54" s="160"/>
      <c r="AC54" s="1700"/>
      <c r="AD54" s="53"/>
      <c r="AE54" s="2"/>
      <c r="AF54" s="19"/>
    </row>
    <row r="55" spans="1:32" ht="18" customHeight="1">
      <c r="A55" s="150" t="s">
        <v>44</v>
      </c>
      <c r="B55" s="151"/>
      <c r="C55" s="152"/>
      <c r="D55" s="992"/>
      <c r="E55" s="166"/>
      <c r="F55" s="166"/>
      <c r="G55" s="166"/>
      <c r="H55" s="992"/>
      <c r="I55" s="166"/>
      <c r="J55" s="166"/>
      <c r="K55" s="166"/>
      <c r="L55" s="992"/>
      <c r="M55" s="166"/>
      <c r="N55" s="166"/>
      <c r="O55" s="167"/>
      <c r="P55" s="1650"/>
      <c r="Q55" s="168"/>
      <c r="R55" s="166"/>
      <c r="S55" s="166"/>
      <c r="T55" s="166"/>
      <c r="U55" s="191"/>
      <c r="V55" s="191"/>
      <c r="W55" s="1655"/>
      <c r="X55" s="191"/>
      <c r="Y55" s="191"/>
      <c r="Z55" s="191"/>
      <c r="AA55" s="191"/>
      <c r="AB55" s="160"/>
      <c r="AC55" s="1700"/>
      <c r="AD55" s="52"/>
      <c r="AE55" s="2"/>
      <c r="AF55" s="104"/>
    </row>
    <row r="56" spans="1:32" ht="18" customHeight="1">
      <c r="A56" s="150" t="s">
        <v>60</v>
      </c>
      <c r="B56" s="150"/>
      <c r="C56" s="172"/>
      <c r="D56" s="997"/>
      <c r="E56" s="166"/>
      <c r="F56" s="166"/>
      <c r="G56" s="166"/>
      <c r="H56" s="992"/>
      <c r="I56" s="166"/>
      <c r="J56" s="166"/>
      <c r="K56" s="166"/>
      <c r="L56" s="992"/>
      <c r="M56" s="166"/>
      <c r="N56" s="166"/>
      <c r="O56" s="167"/>
      <c r="P56" s="1650"/>
      <c r="Q56" s="168"/>
      <c r="R56" s="166"/>
      <c r="S56" s="166"/>
      <c r="T56" s="166"/>
      <c r="U56" s="191"/>
      <c r="V56" s="191"/>
      <c r="W56" s="1655"/>
      <c r="X56" s="191"/>
      <c r="Y56" s="191" t="s">
        <v>15</v>
      </c>
      <c r="Z56" s="191"/>
      <c r="AA56" s="191"/>
      <c r="AB56" s="160"/>
      <c r="AC56" s="1700"/>
      <c r="AD56" s="52"/>
      <c r="AE56" s="2"/>
      <c r="AF56" s="19"/>
    </row>
    <row r="57" spans="1:32" ht="18" customHeight="1">
      <c r="A57" s="150" t="s">
        <v>61</v>
      </c>
      <c r="B57" s="150"/>
      <c r="C57" s="172"/>
      <c r="D57" s="195">
        <f>ROUND(SUM(D48+D53),1)</f>
        <v>492.5</v>
      </c>
      <c r="E57" s="195"/>
      <c r="F57" s="195">
        <f>ROUND(SUM(F48)+SUM(F53),1)</f>
        <v>492.5</v>
      </c>
      <c r="G57" s="195"/>
      <c r="H57" s="195">
        <f>ROUND(SUM(H48+H53),1)</f>
        <v>1094.5</v>
      </c>
      <c r="I57" s="195"/>
      <c r="J57" s="195">
        <f>ROUND(SUM(J48)+SUM(J53),1)</f>
        <v>1094.5</v>
      </c>
      <c r="K57" s="195"/>
      <c r="L57" s="195">
        <f>ROUND(SUM(L48+L53),1)</f>
        <v>193.6</v>
      </c>
      <c r="M57" s="196"/>
      <c r="N57" s="196">
        <f>ROUND(SUM(N48+N53),1)</f>
        <v>193.6</v>
      </c>
      <c r="O57" s="197"/>
      <c r="P57" s="197"/>
      <c r="Q57" s="198"/>
      <c r="R57" s="196">
        <f>ROUND(SUM(+R48+R53),1)</f>
        <v>1780.6</v>
      </c>
      <c r="S57" s="196"/>
      <c r="T57" s="196">
        <f>ROUND(SUM(T48+T53),1)</f>
        <v>1780.6</v>
      </c>
      <c r="U57" s="196"/>
      <c r="V57" s="196"/>
      <c r="W57" s="1656"/>
      <c r="X57" s="196"/>
      <c r="Y57" s="195">
        <f>ROUND(SUM(Y48)+SUM(Y53),1)</f>
        <v>1011.1</v>
      </c>
      <c r="Z57" s="195"/>
      <c r="AA57" s="195">
        <f>ROUND(SUM(AA48)+SUM(AA53),1)</f>
        <v>1011.1</v>
      </c>
      <c r="AB57" s="200"/>
      <c r="AC57" s="1702"/>
      <c r="AD57" s="2371">
        <f>ROUND(SUM(+AD48+AD53),1)</f>
        <v>769.5</v>
      </c>
      <c r="AE57" s="69"/>
      <c r="AF57" s="2390">
        <f>ROUND(SUM(AD57/AA57),3)</f>
        <v>0.76100000000000001</v>
      </c>
    </row>
    <row r="58" spans="1:32" ht="15.95" customHeight="1">
      <c r="A58" s="151"/>
      <c r="B58" s="151"/>
      <c r="C58" s="152"/>
      <c r="D58" s="992"/>
      <c r="E58" s="166"/>
      <c r="F58" s="167"/>
      <c r="G58" s="166"/>
      <c r="H58" s="992"/>
      <c r="I58" s="166"/>
      <c r="J58" s="166"/>
      <c r="K58" s="166"/>
      <c r="L58" s="997"/>
      <c r="M58" s="191"/>
      <c r="N58" s="191"/>
      <c r="O58" s="192"/>
      <c r="P58" s="1650"/>
      <c r="Q58" s="193"/>
      <c r="R58" s="191"/>
      <c r="S58" s="191"/>
      <c r="T58" s="191"/>
      <c r="U58" s="191"/>
      <c r="V58" s="191"/>
      <c r="W58" s="1655"/>
      <c r="X58" s="191"/>
      <c r="Y58" s="191"/>
      <c r="Z58" s="191"/>
      <c r="AA58" s="191"/>
      <c r="AB58" s="160"/>
      <c r="AC58" s="1700"/>
      <c r="AD58" s="52"/>
      <c r="AE58" s="2"/>
      <c r="AF58" s="19"/>
    </row>
    <row r="59" spans="1:32" ht="18" customHeight="1">
      <c r="A59" s="201" t="s">
        <v>53</v>
      </c>
      <c r="B59" s="177"/>
      <c r="C59" s="152"/>
      <c r="D59" s="190">
        <f>+'Exhibit A'!D57</f>
        <v>9445</v>
      </c>
      <c r="E59" s="179"/>
      <c r="F59" s="190">
        <f>'Exhibit A'!F57</f>
        <v>9445</v>
      </c>
      <c r="G59" s="179"/>
      <c r="H59" s="190">
        <f>+'Exhibit G state'!D13</f>
        <v>4008.5</v>
      </c>
      <c r="I59" s="179"/>
      <c r="J59" s="190">
        <f>'Exhibit G state'!D13</f>
        <v>4008.5</v>
      </c>
      <c r="K59" s="179"/>
      <c r="L59" s="1804">
        <f>+'Exhibit A'!L57</f>
        <v>153.1</v>
      </c>
      <c r="M59" s="199"/>
      <c r="N59" s="3501">
        <f>+'Exhibit A'!N57</f>
        <v>153.1</v>
      </c>
      <c r="O59" s="181"/>
      <c r="P59" s="197"/>
      <c r="Q59" s="182"/>
      <c r="R59" s="190">
        <f>ROUND(SUM(D59+H59+L59),1)</f>
        <v>13606.6</v>
      </c>
      <c r="S59" s="181"/>
      <c r="T59" s="190">
        <f>ROUND(SUM(F59+J59+N59),1)</f>
        <v>13606.6</v>
      </c>
      <c r="U59" s="199"/>
      <c r="V59" s="199"/>
      <c r="W59" s="1880"/>
      <c r="X59" s="199"/>
      <c r="Y59" s="1804">
        <v>11625.3</v>
      </c>
      <c r="Z59" s="195" t="s">
        <v>15</v>
      </c>
      <c r="AA59" s="1804">
        <f>'Exhibit F'!AF14+'Exhibit G state'!AG13+'Exhibit H'!AD12</f>
        <v>11625.300000000001</v>
      </c>
      <c r="AB59" s="200"/>
      <c r="AC59" s="1702"/>
      <c r="AD59" s="88">
        <f>ROUND(SUM(T59-AA59),1)</f>
        <v>1981.3</v>
      </c>
      <c r="AE59" s="69"/>
      <c r="AF59" s="90">
        <f>ROUND(+AD59/AA59,3)</f>
        <v>0.17</v>
      </c>
    </row>
    <row r="60" spans="1:32" ht="15.95" customHeight="1">
      <c r="A60" s="172"/>
      <c r="B60" s="152"/>
      <c r="C60" s="152"/>
      <c r="D60" s="998"/>
      <c r="E60" s="152"/>
      <c r="F60" s="153"/>
      <c r="G60" s="152"/>
      <c r="H60" s="990"/>
      <c r="I60" s="152"/>
      <c r="J60" s="153"/>
      <c r="K60" s="152"/>
      <c r="L60" s="998"/>
      <c r="M60" s="152"/>
      <c r="N60" s="153"/>
      <c r="O60" s="153"/>
      <c r="P60" s="1648"/>
      <c r="Q60" s="159"/>
      <c r="R60" s="153"/>
      <c r="S60" s="153"/>
      <c r="T60" s="153"/>
      <c r="U60" s="160"/>
      <c r="V60" s="160"/>
      <c r="W60" s="1875"/>
      <c r="X60" s="160"/>
      <c r="Y60" s="160"/>
      <c r="Z60" s="172"/>
      <c r="AA60" s="160"/>
      <c r="AB60" s="160"/>
      <c r="AC60" s="1700"/>
      <c r="AD60" s="53"/>
      <c r="AE60" s="2"/>
      <c r="AF60" s="19"/>
    </row>
    <row r="61" spans="1:32" ht="18" customHeight="1" thickBot="1">
      <c r="A61" s="202" t="s">
        <v>62</v>
      </c>
      <c r="B61" s="203" t="s">
        <v>15</v>
      </c>
      <c r="C61" s="152"/>
      <c r="D61" s="204">
        <f>ROUND(SUM(D57+D59),1)</f>
        <v>9937.5</v>
      </c>
      <c r="E61" s="205"/>
      <c r="F61" s="204">
        <f>ROUND(SUM(F57+F59),1)</f>
        <v>9937.5</v>
      </c>
      <c r="G61" s="205"/>
      <c r="H61" s="204">
        <f>ROUND(SUM(H57+H59),1)</f>
        <v>5103</v>
      </c>
      <c r="I61" s="205"/>
      <c r="J61" s="204">
        <f>ROUND(SUM(J57)+SUM(J59),1)</f>
        <v>5103</v>
      </c>
      <c r="K61" s="205"/>
      <c r="L61" s="204">
        <f>ROUND(SUM(L57+L59),1)</f>
        <v>346.7</v>
      </c>
      <c r="M61" s="207"/>
      <c r="N61" s="206">
        <f>ROUND(SUM(N57+N59),1)</f>
        <v>346.7</v>
      </c>
      <c r="O61" s="208"/>
      <c r="P61" s="208"/>
      <c r="Q61" s="2008"/>
      <c r="R61" s="206">
        <f>ROUND(SUM(R57+R59),1)</f>
        <v>15387.2</v>
      </c>
      <c r="S61" s="208"/>
      <c r="T61" s="206">
        <f>ROUND(SUM(T57+T59),1)</f>
        <v>15387.2</v>
      </c>
      <c r="U61" s="208"/>
      <c r="V61" s="208"/>
      <c r="W61" s="1657"/>
      <c r="X61" s="208"/>
      <c r="Y61" s="204">
        <f>ROUND(SUM(Y57+Y59),1)</f>
        <v>12636.4</v>
      </c>
      <c r="Z61" s="205"/>
      <c r="AA61" s="204">
        <f>ROUND(SUM(AA57+AA59),1)</f>
        <v>12636.4</v>
      </c>
      <c r="AB61" s="209"/>
      <c r="AC61" s="1703"/>
      <c r="AD61" s="114">
        <f>ROUND(SUM(AD57+AD59),1)</f>
        <v>2750.8</v>
      </c>
      <c r="AE61" s="69"/>
      <c r="AF61" s="122">
        <f>ROUND(+AD61/AA61,3)</f>
        <v>0.218</v>
      </c>
    </row>
    <row r="62" spans="1:32" ht="15.75" thickTop="1">
      <c r="A62" s="210"/>
      <c r="B62" s="210"/>
      <c r="C62" s="210"/>
      <c r="D62" s="211"/>
      <c r="E62" s="211"/>
      <c r="F62" s="211"/>
      <c r="G62" s="211"/>
      <c r="H62" s="1059"/>
      <c r="I62" s="211"/>
      <c r="J62" s="211"/>
      <c r="K62" s="211"/>
      <c r="L62" s="211"/>
      <c r="M62" s="211"/>
      <c r="N62" s="211"/>
      <c r="O62" s="211"/>
      <c r="P62" s="2009"/>
      <c r="Q62" s="211"/>
      <c r="R62" s="211"/>
      <c r="S62" s="211"/>
      <c r="T62" s="211"/>
      <c r="U62" s="1699"/>
      <c r="V62" s="1699"/>
      <c r="W62" s="1699"/>
      <c r="X62" s="1699"/>
      <c r="Y62" s="1699"/>
      <c r="Z62" s="1699"/>
      <c r="AA62" s="1699"/>
      <c r="AB62" s="1699"/>
      <c r="AC62" s="1699"/>
      <c r="AD62" s="128"/>
      <c r="AE62" s="2"/>
      <c r="AF62" s="129"/>
    </row>
    <row r="63" spans="1:32">
      <c r="A63" s="149"/>
      <c r="B63" s="149"/>
      <c r="C63" s="149"/>
      <c r="D63" s="149"/>
      <c r="E63" s="149"/>
      <c r="F63" s="149"/>
      <c r="G63" s="149"/>
      <c r="H63" s="1060"/>
      <c r="I63" s="149"/>
      <c r="J63" s="149"/>
      <c r="K63" s="149"/>
      <c r="L63" s="149"/>
      <c r="M63" s="149"/>
      <c r="N63" s="149"/>
      <c r="O63" s="149"/>
      <c r="P63" s="149"/>
      <c r="Q63" s="149"/>
      <c r="R63" s="149"/>
      <c r="S63" s="149"/>
      <c r="T63" s="149"/>
      <c r="U63" s="1643"/>
      <c r="V63" s="1643"/>
      <c r="W63" s="1643"/>
      <c r="X63" s="1643"/>
      <c r="Y63" s="1643"/>
      <c r="Z63" s="1643"/>
      <c r="AA63" s="1643"/>
      <c r="AB63" s="1643"/>
    </row>
    <row r="64" spans="1:32" ht="18" customHeight="1">
      <c r="A64" s="999" t="s">
        <v>1317</v>
      </c>
      <c r="B64" s="149"/>
      <c r="C64" s="149"/>
      <c r="D64" s="149"/>
      <c r="E64" s="149"/>
      <c r="F64" s="149"/>
      <c r="G64" s="149"/>
      <c r="H64" s="1060"/>
      <c r="I64" s="149"/>
      <c r="J64" s="149"/>
      <c r="K64" s="149"/>
      <c r="L64" s="149"/>
      <c r="M64" s="149"/>
      <c r="N64" s="149"/>
      <c r="O64" s="149"/>
      <c r="P64" s="149"/>
      <c r="Q64" s="149"/>
      <c r="R64" s="149"/>
      <c r="S64" s="149"/>
      <c r="T64" s="149"/>
      <c r="U64" s="1643"/>
      <c r="V64" s="1643"/>
      <c r="W64" s="1643"/>
      <c r="X64" s="1643"/>
      <c r="Y64" s="1643"/>
      <c r="Z64" s="1643"/>
      <c r="AA64" s="1643"/>
      <c r="AB64" s="1643"/>
    </row>
    <row r="65" spans="1:28" ht="18" customHeight="1">
      <c r="A65" s="2010" t="s">
        <v>1316</v>
      </c>
      <c r="B65" s="149"/>
      <c r="C65" s="149"/>
      <c r="D65" s="149"/>
      <c r="E65" s="149"/>
      <c r="F65" s="149"/>
      <c r="G65" s="149"/>
      <c r="H65" s="1060"/>
      <c r="I65" s="149"/>
      <c r="J65" s="149"/>
      <c r="K65" s="149"/>
      <c r="L65" s="149"/>
      <c r="M65" s="149"/>
      <c r="N65" s="149"/>
      <c r="O65" s="149"/>
      <c r="P65" s="149"/>
      <c r="Q65" s="149"/>
      <c r="R65" s="149"/>
      <c r="S65" s="149"/>
      <c r="T65" s="149"/>
      <c r="U65" s="1643"/>
      <c r="V65" s="1643"/>
      <c r="W65" s="1643"/>
      <c r="X65" s="1643"/>
      <c r="Y65" s="1643"/>
      <c r="Z65" s="1643"/>
      <c r="AA65" s="1643"/>
      <c r="AB65" s="1643"/>
    </row>
    <row r="66" spans="1:28" ht="15">
      <c r="A66" s="1000"/>
      <c r="B66" s="149"/>
      <c r="C66" s="149"/>
      <c r="D66" s="149"/>
      <c r="E66" s="149"/>
      <c r="F66" s="149"/>
      <c r="G66" s="149"/>
      <c r="H66" s="1060"/>
      <c r="I66" s="149"/>
      <c r="J66" s="149"/>
      <c r="K66" s="149"/>
      <c r="L66" s="149"/>
      <c r="M66" s="149"/>
      <c r="N66" s="149"/>
      <c r="O66" s="149"/>
      <c r="P66" s="149"/>
      <c r="Q66" s="149"/>
      <c r="R66" s="149"/>
      <c r="S66" s="149"/>
      <c r="T66" s="149"/>
      <c r="U66" s="1643"/>
      <c r="V66" s="1643"/>
      <c r="W66" s="1643"/>
      <c r="X66" s="1643"/>
      <c r="Y66" s="1643"/>
      <c r="Z66" s="1643"/>
      <c r="AA66" s="1643"/>
      <c r="AB66" s="1643"/>
    </row>
    <row r="67" spans="1:28" ht="15.75">
      <c r="A67" s="213"/>
      <c r="B67" s="214"/>
      <c r="C67" s="194"/>
      <c r="D67" s="215"/>
      <c r="E67" s="215"/>
      <c r="F67" s="215"/>
      <c r="G67" s="215"/>
      <c r="H67" s="1061"/>
      <c r="I67" s="215"/>
      <c r="J67" s="215"/>
      <c r="K67" s="215"/>
      <c r="L67" s="215"/>
      <c r="M67" s="149"/>
      <c r="N67" s="149"/>
      <c r="O67" s="149"/>
      <c r="P67" s="149"/>
      <c r="Q67" s="149"/>
      <c r="R67" s="149"/>
      <c r="S67" s="149"/>
      <c r="T67" s="149"/>
      <c r="U67" s="1643"/>
      <c r="V67" s="1643"/>
      <c r="W67" s="1643"/>
      <c r="X67" s="1643"/>
      <c r="Y67" s="1643"/>
      <c r="Z67" s="1643"/>
      <c r="AA67" s="1643"/>
      <c r="AB67" s="1643"/>
    </row>
    <row r="68" spans="1:28" ht="15">
      <c r="A68" s="156"/>
      <c r="B68" s="156"/>
      <c r="C68" s="156"/>
      <c r="D68" s="999"/>
      <c r="E68" s="156"/>
      <c r="F68" s="156"/>
      <c r="G68" s="156"/>
      <c r="H68" s="1062"/>
      <c r="I68" s="156"/>
      <c r="J68" s="156"/>
      <c r="K68" s="156"/>
      <c r="L68" s="999"/>
      <c r="M68" s="149"/>
      <c r="N68" s="149"/>
      <c r="O68" s="149"/>
      <c r="P68" s="149"/>
      <c r="Q68" s="149"/>
      <c r="R68" s="149"/>
      <c r="S68" s="149"/>
      <c r="T68" s="149"/>
      <c r="U68" s="1643"/>
      <c r="V68" s="1643"/>
      <c r="W68" s="1643"/>
      <c r="X68" s="1643"/>
      <c r="Y68" s="1643"/>
      <c r="Z68" s="1643"/>
      <c r="AA68" s="1643"/>
      <c r="AB68" s="1643"/>
    </row>
    <row r="69" spans="1:28" ht="15">
      <c r="A69" s="156"/>
      <c r="B69" s="156"/>
      <c r="C69" s="156"/>
      <c r="D69" s="999"/>
      <c r="E69" s="156"/>
      <c r="F69" s="156"/>
      <c r="G69" s="156"/>
      <c r="H69" s="1062"/>
      <c r="I69" s="156"/>
      <c r="J69" s="156"/>
      <c r="K69" s="156"/>
      <c r="L69" s="999"/>
      <c r="M69" s="149"/>
      <c r="N69" s="149"/>
      <c r="O69" s="149"/>
      <c r="P69" s="149"/>
      <c r="Q69" s="149"/>
      <c r="R69" s="149"/>
      <c r="S69" s="149"/>
      <c r="T69" s="149"/>
      <c r="U69" s="1643"/>
      <c r="V69" s="1643"/>
      <c r="W69" s="1643"/>
      <c r="X69" s="1643"/>
      <c r="Y69" s="1643"/>
      <c r="Z69" s="1643"/>
      <c r="AA69" s="1643"/>
      <c r="AB69" s="1643"/>
    </row>
    <row r="70" spans="1:28" ht="15">
      <c r="A70" s="156"/>
      <c r="B70" s="156"/>
      <c r="C70" s="156"/>
      <c r="D70" s="999"/>
      <c r="E70" s="156"/>
      <c r="F70" s="156"/>
      <c r="G70" s="156"/>
      <c r="H70" s="1062"/>
      <c r="I70" s="156"/>
      <c r="J70" s="156"/>
      <c r="K70" s="156"/>
      <c r="L70" s="999"/>
      <c r="M70" s="149"/>
      <c r="N70" s="149"/>
      <c r="O70" s="149"/>
      <c r="P70" s="149"/>
      <c r="Q70" s="149"/>
      <c r="R70" s="149"/>
      <c r="S70" s="149"/>
      <c r="T70" s="149"/>
      <c r="U70" s="1643"/>
      <c r="V70" s="1643"/>
      <c r="W70" s="1643"/>
      <c r="X70" s="1643"/>
      <c r="Y70" s="1643"/>
      <c r="Z70" s="1643"/>
      <c r="AA70" s="1643"/>
      <c r="AB70" s="1643"/>
    </row>
    <row r="71" spans="1:28" ht="19.5" customHeight="1">
      <c r="A71" s="143"/>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E27 AD30:AF30 AE28:AE29 AD38:AG38 AE31:AE36 AD17:AD22 AD28:AD29 AD31:AD36 AD46:AG47 AE39:AE44 AD39:AD44 AE51:AF52 AD51 AD60:AF60 AD49:AG50 AE48 AG17 AG18:AG22 AF18:AF21 AD23:AE23 AG23 AG27 AG28:AG29 AG31:AG36 AG30 AF29 AF31:AF37 AD37:AE37 AG37 AG39:AG44 AF39:AF43 AE45 AG45 AG48 AD59:AF59 AD61:AF61 AE53 AD58:AF58 AE57:AF57 AF23 AF27" unlockedFormula="1"/>
    <ignoredError sqref="B51:B52" numberStoredAsText="1"/>
    <ignoredError sqref="AF28 AF44 AF22"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71"/>
  <sheetViews>
    <sheetView showGridLines="0" zoomScale="80" zoomScaleNormal="80" workbookViewId="0"/>
  </sheetViews>
  <sheetFormatPr defaultColWidth="8.88671875" defaultRowHeight="15.75"/>
  <cols>
    <col min="1" max="1" width="56.77734375" style="1150" customWidth="1"/>
    <col min="2" max="2" width="2.33203125" style="1150" customWidth="1"/>
    <col min="3" max="3" width="19" style="1269" customWidth="1"/>
    <col min="4" max="4" width="1.6640625" style="1270" customWidth="1"/>
    <col min="5" max="5" width="16.44140625" style="1270" customWidth="1"/>
    <col min="6" max="6" width="1.5546875" style="1270" customWidth="1"/>
    <col min="7" max="7" width="16.5546875" style="1270" customWidth="1"/>
    <col min="8" max="8" width="1.5546875" style="1270" customWidth="1"/>
    <col min="9" max="9" width="16.5546875" style="1270" customWidth="1"/>
    <col min="10" max="10" width="1.5546875" style="1150" customWidth="1"/>
    <col min="11" max="11" width="20.21875" style="1150" customWidth="1"/>
    <col min="12" max="12" width="10" style="1151" bestFit="1" customWidth="1"/>
    <col min="13" max="13" width="2.5546875" style="1151" customWidth="1"/>
    <col min="14" max="14" width="9" style="1151" bestFit="1" customWidth="1"/>
    <col min="15" max="15" width="20.6640625" style="1150" customWidth="1"/>
    <col min="16" max="16384" width="8.88671875" style="1150"/>
  </cols>
  <sheetData>
    <row r="1" spans="1:14">
      <c r="A1" s="1052" t="s">
        <v>1064</v>
      </c>
    </row>
    <row r="2" spans="1:14">
      <c r="A2" s="1458"/>
    </row>
    <row r="3" spans="1:14" ht="18">
      <c r="A3" s="1378" t="s">
        <v>0</v>
      </c>
      <c r="B3" s="738"/>
      <c r="C3" s="1336"/>
      <c r="D3" s="1336"/>
      <c r="E3" s="1336"/>
      <c r="F3" s="1336"/>
      <c r="G3" s="1336"/>
      <c r="H3" s="1336"/>
      <c r="I3" s="1336"/>
      <c r="J3" s="738"/>
      <c r="K3" s="1380" t="s">
        <v>234</v>
      </c>
      <c r="L3" s="3481"/>
    </row>
    <row r="4" spans="1:14" ht="18">
      <c r="A4" s="1378" t="s">
        <v>233</v>
      </c>
      <c r="B4" s="738"/>
      <c r="C4" s="1336" t="s">
        <v>15</v>
      </c>
      <c r="D4" s="1336"/>
      <c r="E4" s="1336"/>
      <c r="F4" s="1336"/>
      <c r="G4" s="1336"/>
      <c r="H4" s="1336"/>
      <c r="I4" s="1336"/>
      <c r="J4" s="738"/>
      <c r="L4" s="3482"/>
    </row>
    <row r="5" spans="1:14" ht="18">
      <c r="A5" s="1378" t="s">
        <v>1422</v>
      </c>
      <c r="B5" s="738"/>
      <c r="C5" s="1336"/>
      <c r="D5" s="1336"/>
      <c r="E5" s="1336"/>
      <c r="F5" s="1336"/>
      <c r="G5" s="1336"/>
      <c r="H5" s="1336"/>
      <c r="I5" s="1336"/>
      <c r="J5" s="738"/>
      <c r="K5" s="739"/>
      <c r="L5" s="3483"/>
    </row>
    <row r="6" spans="1:14" ht="18">
      <c r="A6" s="1379" t="s">
        <v>235</v>
      </c>
      <c r="B6" s="738"/>
      <c r="C6" s="1336"/>
      <c r="D6" s="1336"/>
      <c r="E6" s="1336"/>
      <c r="F6" s="1336"/>
      <c r="G6" s="1336"/>
      <c r="H6" s="1336"/>
      <c r="I6" s="1336"/>
      <c r="J6" s="738"/>
      <c r="K6" s="740"/>
      <c r="L6" s="3484"/>
    </row>
    <row r="7" spans="1:14" ht="18">
      <c r="A7" s="1379" t="s">
        <v>1462</v>
      </c>
      <c r="B7" s="738"/>
      <c r="C7" s="1336"/>
      <c r="D7" s="1336"/>
      <c r="E7" s="1336"/>
      <c r="F7" s="1336"/>
      <c r="G7" s="1336"/>
      <c r="H7" s="1336"/>
      <c r="I7" s="1336"/>
      <c r="J7" s="738"/>
      <c r="K7" s="740"/>
      <c r="L7" s="3484"/>
    </row>
    <row r="8" spans="1:14" ht="18">
      <c r="A8" s="1379" t="s">
        <v>1467</v>
      </c>
      <c r="B8" s="738"/>
      <c r="C8" s="1336"/>
      <c r="D8" s="1336"/>
      <c r="E8" s="1336" t="s">
        <v>15</v>
      </c>
      <c r="F8" s="1336"/>
      <c r="G8" s="1336"/>
      <c r="H8" s="1336"/>
      <c r="I8" s="1336"/>
      <c r="J8" s="738"/>
      <c r="K8" s="738"/>
      <c r="L8" s="3481"/>
    </row>
    <row r="9" spans="1:14" ht="18">
      <c r="A9" s="1378" t="s">
        <v>959</v>
      </c>
      <c r="B9" s="1254" t="s">
        <v>236</v>
      </c>
      <c r="C9" s="1259"/>
      <c r="D9" s="1259"/>
      <c r="E9" s="1259"/>
      <c r="F9" s="1259"/>
      <c r="G9" s="1259"/>
      <c r="H9" s="1259"/>
      <c r="I9" s="1259"/>
      <c r="J9" s="1255"/>
      <c r="K9" s="1255"/>
      <c r="L9" s="1256"/>
    </row>
    <row r="10" spans="1:14">
      <c r="A10" s="1255"/>
      <c r="B10" s="1255"/>
      <c r="C10" s="749" t="s">
        <v>237</v>
      </c>
      <c r="D10" s="754"/>
      <c r="E10" s="754"/>
      <c r="F10" s="754"/>
      <c r="G10" s="761"/>
      <c r="H10" s="754"/>
      <c r="I10" s="3636" t="s">
        <v>238</v>
      </c>
      <c r="J10" s="737"/>
      <c r="K10" s="743" t="s">
        <v>237</v>
      </c>
      <c r="L10" s="743"/>
    </row>
    <row r="11" spans="1:14">
      <c r="A11" s="1255"/>
      <c r="B11" s="1255"/>
      <c r="C11" s="3637" t="s">
        <v>1468</v>
      </c>
      <c r="D11" s="754"/>
      <c r="E11" s="3638" t="s">
        <v>239</v>
      </c>
      <c r="F11" s="761"/>
      <c r="G11" s="3639" t="s">
        <v>240</v>
      </c>
      <c r="H11" s="761"/>
      <c r="I11" s="3639" t="s">
        <v>241</v>
      </c>
      <c r="J11" s="742"/>
      <c r="K11" s="744" t="s">
        <v>1469</v>
      </c>
      <c r="L11" s="745"/>
    </row>
    <row r="12" spans="1:14">
      <c r="A12" s="1255"/>
      <c r="B12" s="1255"/>
      <c r="C12" s="3640"/>
      <c r="D12" s="754"/>
      <c r="E12" s="3636"/>
      <c r="F12" s="761"/>
      <c r="G12" s="3636"/>
      <c r="H12" s="761"/>
      <c r="I12" s="3636"/>
      <c r="J12" s="742"/>
      <c r="K12" s="1334"/>
      <c r="L12" s="745"/>
    </row>
    <row r="13" spans="1:14">
      <c r="A13" s="746" t="s">
        <v>148</v>
      </c>
      <c r="B13" s="1255"/>
      <c r="C13" s="1263"/>
      <c r="D13" s="1259"/>
      <c r="E13" s="2835"/>
      <c r="F13" s="1259"/>
      <c r="G13" s="1253"/>
      <c r="H13" s="1259"/>
      <c r="I13" s="1253"/>
      <c r="J13" s="1255"/>
      <c r="K13" s="1256"/>
      <c r="L13" s="1256"/>
    </row>
    <row r="14" spans="1:14">
      <c r="A14" s="1259" t="s">
        <v>242</v>
      </c>
      <c r="B14" s="1257"/>
      <c r="C14" s="2791">
        <v>0</v>
      </c>
      <c r="D14" s="2792"/>
      <c r="E14" s="2791">
        <v>0.13100000000000001</v>
      </c>
      <c r="F14" s="2792"/>
      <c r="G14" s="2791">
        <v>3035.0610000000001</v>
      </c>
      <c r="H14" s="2792"/>
      <c r="I14" s="2791">
        <v>3034.93</v>
      </c>
      <c r="J14" s="1257"/>
      <c r="K14" s="1356">
        <f>ROUND(SUM(C14)+SUM(E14)-SUM(G14)+SUM(I14),3)</f>
        <v>0</v>
      </c>
      <c r="L14" s="3485"/>
    </row>
    <row r="15" spans="1:14">
      <c r="A15" s="1259" t="s">
        <v>243</v>
      </c>
      <c r="B15" s="1259"/>
      <c r="C15" s="2797">
        <v>0</v>
      </c>
      <c r="D15" s="2792"/>
      <c r="E15" s="2797">
        <v>4022.1529999999998</v>
      </c>
      <c r="F15" s="2792"/>
      <c r="G15" s="2797">
        <v>3471.2420000000002</v>
      </c>
      <c r="H15" s="2792"/>
      <c r="I15" s="2797">
        <v>9340.8379999999997</v>
      </c>
      <c r="J15" s="1257"/>
      <c r="K15" s="1041">
        <f>ROUND(SUM(C15)+SUM(E15)-SUM(G15)+SUM(I15),3)</f>
        <v>9891.7489999999998</v>
      </c>
      <c r="L15" s="3486"/>
      <c r="M15" s="3487"/>
      <c r="N15" s="3487"/>
    </row>
    <row r="16" spans="1:14">
      <c r="A16" s="1261" t="s">
        <v>244</v>
      </c>
      <c r="B16" s="1255"/>
      <c r="C16" s="2797">
        <v>1257.7629999999999</v>
      </c>
      <c r="D16" s="2792"/>
      <c r="E16" s="2797">
        <v>0</v>
      </c>
      <c r="F16" s="2792"/>
      <c r="G16" s="2797">
        <v>0</v>
      </c>
      <c r="H16" s="2792"/>
      <c r="I16" s="2797">
        <v>-1257.7629999999999</v>
      </c>
      <c r="J16" s="1257"/>
      <c r="K16" s="1041">
        <f t="shared" ref="K16:K23" si="0">ROUND(SUM(C16)+SUM(E16)-SUM(G16)+SUM(I16),3)</f>
        <v>0</v>
      </c>
      <c r="L16" s="3486"/>
      <c r="M16" s="3487"/>
      <c r="N16" s="3487"/>
    </row>
    <row r="17" spans="1:14">
      <c r="A17" s="1255" t="s">
        <v>245</v>
      </c>
      <c r="B17" s="1255"/>
      <c r="C17" s="2797">
        <v>20.623999999999999</v>
      </c>
      <c r="D17" s="2792"/>
      <c r="E17" s="2797">
        <v>0</v>
      </c>
      <c r="F17" s="2792"/>
      <c r="G17" s="2797">
        <v>0</v>
      </c>
      <c r="H17" s="2792"/>
      <c r="I17" s="2797">
        <v>-20.623999999999999</v>
      </c>
      <c r="J17" s="1257"/>
      <c r="K17" s="1041">
        <f t="shared" si="0"/>
        <v>0</v>
      </c>
      <c r="L17" s="3486"/>
      <c r="M17" s="3487"/>
      <c r="N17" s="3487"/>
    </row>
    <row r="18" spans="1:14">
      <c r="A18" s="1255" t="s">
        <v>246</v>
      </c>
      <c r="B18" s="1255"/>
      <c r="C18" s="2797">
        <v>0</v>
      </c>
      <c r="D18" s="2792"/>
      <c r="E18" s="2797">
        <v>0</v>
      </c>
      <c r="F18" s="2792"/>
      <c r="G18" s="2797">
        <v>0</v>
      </c>
      <c r="H18" s="2792"/>
      <c r="I18" s="2797">
        <v>0</v>
      </c>
      <c r="J18" s="1257"/>
      <c r="K18" s="1041">
        <f t="shared" si="0"/>
        <v>0</v>
      </c>
      <c r="L18" s="3486"/>
      <c r="M18" s="3487"/>
      <c r="N18" s="3487"/>
    </row>
    <row r="19" spans="1:14">
      <c r="A19" s="1255" t="s">
        <v>247</v>
      </c>
      <c r="B19" s="1255"/>
      <c r="C19" s="2797">
        <v>46.427999999999997</v>
      </c>
      <c r="D19" s="2792"/>
      <c r="E19" s="2797">
        <v>0</v>
      </c>
      <c r="F19" s="2792"/>
      <c r="G19" s="2797">
        <v>0.69599999999999995</v>
      </c>
      <c r="H19" s="2792"/>
      <c r="I19" s="2797">
        <v>0</v>
      </c>
      <c r="J19" s="1257"/>
      <c r="K19" s="1041">
        <f t="shared" si="0"/>
        <v>45.731999999999999</v>
      </c>
      <c r="L19" s="3488"/>
      <c r="M19" s="3487"/>
      <c r="N19" s="3487"/>
    </row>
    <row r="20" spans="1:14">
      <c r="A20" s="1255" t="s">
        <v>248</v>
      </c>
      <c r="B20" s="1255"/>
      <c r="C20" s="2797">
        <v>539.54399999999998</v>
      </c>
      <c r="D20" s="2792"/>
      <c r="E20" s="2797">
        <v>0</v>
      </c>
      <c r="F20" s="2792"/>
      <c r="G20" s="2797">
        <v>0</v>
      </c>
      <c r="H20" s="2792"/>
      <c r="I20" s="2797">
        <v>-539.54399999999998</v>
      </c>
      <c r="J20" s="1257"/>
      <c r="K20" s="1041">
        <f t="shared" si="0"/>
        <v>0</v>
      </c>
      <c r="L20" s="3486"/>
      <c r="M20" s="3487"/>
      <c r="N20" s="3487"/>
    </row>
    <row r="21" spans="1:14">
      <c r="A21" s="1261" t="s">
        <v>249</v>
      </c>
      <c r="B21" s="1256"/>
      <c r="C21" s="2797">
        <v>7580.652</v>
      </c>
      <c r="D21" s="2792"/>
      <c r="E21" s="2797">
        <v>0</v>
      </c>
      <c r="F21" s="2792"/>
      <c r="G21" s="2797">
        <v>0</v>
      </c>
      <c r="H21" s="2792"/>
      <c r="I21" s="2797">
        <v>-7580.652</v>
      </c>
      <c r="J21" s="1257"/>
      <c r="K21" s="1041">
        <f t="shared" si="0"/>
        <v>0</v>
      </c>
      <c r="L21" s="3486"/>
      <c r="M21" s="3487"/>
      <c r="N21" s="3487"/>
    </row>
    <row r="22" spans="1:14">
      <c r="A22" s="1261" t="s">
        <v>250</v>
      </c>
      <c r="B22" s="1255"/>
      <c r="C22" s="2797">
        <v>0</v>
      </c>
      <c r="D22" s="2792"/>
      <c r="E22" s="2797">
        <v>66.986999999999995</v>
      </c>
      <c r="F22" s="2792"/>
      <c r="G22" s="2797">
        <v>66.986999999999995</v>
      </c>
      <c r="H22" s="2792"/>
      <c r="I22" s="2797">
        <v>0</v>
      </c>
      <c r="J22" s="1257"/>
      <c r="K22" s="1041">
        <f t="shared" si="0"/>
        <v>0</v>
      </c>
      <c r="L22" s="3486"/>
      <c r="M22" s="3487"/>
      <c r="N22" s="3487"/>
    </row>
    <row r="23" spans="1:14">
      <c r="A23" s="1262" t="s">
        <v>251</v>
      </c>
      <c r="B23" s="1255"/>
      <c r="C23" s="2797">
        <v>0</v>
      </c>
      <c r="D23" s="2792"/>
      <c r="E23" s="2797">
        <v>0</v>
      </c>
      <c r="F23" s="2792"/>
      <c r="G23" s="2797">
        <v>0</v>
      </c>
      <c r="H23" s="2792"/>
      <c r="I23" s="2797">
        <v>0</v>
      </c>
      <c r="J23" s="1257"/>
      <c r="K23" s="1041">
        <f t="shared" si="0"/>
        <v>0</v>
      </c>
      <c r="L23" s="3486"/>
      <c r="M23" s="3487"/>
    </row>
    <row r="24" spans="1:14" ht="22.5" customHeight="1">
      <c r="A24" s="747" t="s">
        <v>252</v>
      </c>
      <c r="B24" s="1255"/>
      <c r="C24" s="748">
        <f>ROUND(SUM(C14:C23),3)</f>
        <v>9445.0110000000004</v>
      </c>
      <c r="D24" s="749"/>
      <c r="E24" s="748">
        <f>ROUND(SUM(E14:E23),3)</f>
        <v>4089.2710000000002</v>
      </c>
      <c r="F24" s="749"/>
      <c r="G24" s="748">
        <f>ROUND(SUM(G14:G23),3)</f>
        <v>6573.9859999999999</v>
      </c>
      <c r="H24" s="749"/>
      <c r="I24" s="748">
        <f>ROUND(SUM(I14:I23),3)</f>
        <v>2977.1849999999999</v>
      </c>
      <c r="J24" s="749"/>
      <c r="K24" s="748">
        <f>ROUND(SUM(K14:K23),3)</f>
        <v>9937.4809999999998</v>
      </c>
      <c r="L24" s="1189"/>
      <c r="M24" s="3487"/>
      <c r="N24" s="3487"/>
    </row>
    <row r="25" spans="1:14" ht="8.25" customHeight="1">
      <c r="A25" s="747"/>
      <c r="B25" s="1255"/>
      <c r="C25" s="1253"/>
      <c r="D25" s="1041"/>
      <c r="E25" s="1253"/>
      <c r="F25" s="1041"/>
      <c r="G25" s="1253"/>
      <c r="H25" s="1041"/>
      <c r="I25" s="1253"/>
      <c r="J25" s="1041"/>
      <c r="K25" s="1253"/>
      <c r="L25" s="1258"/>
      <c r="M25" s="3487"/>
      <c r="N25" s="3487"/>
    </row>
    <row r="26" spans="1:14" ht="17.25">
      <c r="A26" s="1262"/>
      <c r="B26" s="1259"/>
      <c r="C26" s="1263"/>
      <c r="D26" s="1259"/>
      <c r="E26" s="1263"/>
      <c r="F26" s="1190"/>
      <c r="G26" s="1263"/>
      <c r="H26" s="1190"/>
      <c r="I26" s="1263"/>
      <c r="J26" s="1259"/>
      <c r="K26" s="1264"/>
      <c r="L26" s="1264"/>
      <c r="M26" s="3487"/>
      <c r="N26" s="3487"/>
    </row>
    <row r="27" spans="1:14" ht="17.25">
      <c r="A27" s="750" t="s">
        <v>966</v>
      </c>
      <c r="B27" s="1259"/>
      <c r="C27" s="1259"/>
      <c r="D27" s="1259"/>
      <c r="E27" s="1259"/>
      <c r="F27" s="1190"/>
      <c r="G27" s="1259"/>
      <c r="H27" s="1190"/>
      <c r="I27" s="1259"/>
      <c r="J27" s="1259"/>
      <c r="K27" s="1259"/>
      <c r="L27" s="1263"/>
      <c r="M27" s="3487"/>
      <c r="N27" s="3487"/>
    </row>
    <row r="28" spans="1:14">
      <c r="A28" s="1261" t="s">
        <v>253</v>
      </c>
      <c r="B28" s="1255"/>
      <c r="C28" s="2797">
        <v>2.3340000000000001</v>
      </c>
      <c r="D28" s="2792"/>
      <c r="E28" s="2797">
        <v>4.0000000000000001E-3</v>
      </c>
      <c r="F28" s="2792"/>
      <c r="G28" s="2797">
        <v>1E-3</v>
      </c>
      <c r="H28" s="2792"/>
      <c r="I28" s="2797">
        <v>0</v>
      </c>
      <c r="J28" s="2835"/>
      <c r="K28" s="1041">
        <f t="shared" ref="K28:K33" si="1">ROUND(SUM(C28)+SUM(E28)-SUM(G28)+SUM(I28),3)</f>
        <v>2.3370000000000002</v>
      </c>
      <c r="L28" s="3489"/>
      <c r="M28" s="3487"/>
    </row>
    <row r="29" spans="1:14">
      <c r="A29" s="1262" t="s">
        <v>254</v>
      </c>
      <c r="B29" s="1259"/>
      <c r="C29" s="2797">
        <v>64.072999999999993</v>
      </c>
      <c r="D29" s="2792"/>
      <c r="E29" s="2797">
        <v>1.2609999999999999</v>
      </c>
      <c r="F29" s="2792"/>
      <c r="G29" s="2797">
        <v>0.95899999999999996</v>
      </c>
      <c r="H29" s="2792"/>
      <c r="I29" s="2797">
        <v>0</v>
      </c>
      <c r="J29" s="2835"/>
      <c r="K29" s="1041">
        <f t="shared" si="1"/>
        <v>64.375</v>
      </c>
      <c r="L29" s="3489"/>
      <c r="M29" s="3487"/>
      <c r="N29" s="3487"/>
    </row>
    <row r="30" spans="1:14">
      <c r="A30" s="1259" t="s">
        <v>255</v>
      </c>
      <c r="B30" s="1254" t="s">
        <v>236</v>
      </c>
      <c r="C30" s="2797">
        <v>39.951999999999998</v>
      </c>
      <c r="D30" s="2792"/>
      <c r="E30" s="2797">
        <v>2.335</v>
      </c>
      <c r="F30" s="2792"/>
      <c r="G30" s="2797">
        <v>6.9000000000000006E-2</v>
      </c>
      <c r="H30" s="2792"/>
      <c r="I30" s="2797">
        <v>0</v>
      </c>
      <c r="J30" s="2835"/>
      <c r="K30" s="1041">
        <f t="shared" si="1"/>
        <v>42.218000000000004</v>
      </c>
      <c r="L30" s="3489"/>
      <c r="M30" s="3487"/>
      <c r="N30" s="3487"/>
    </row>
    <row r="31" spans="1:14">
      <c r="A31" s="1262" t="s">
        <v>256</v>
      </c>
      <c r="B31" s="1254"/>
      <c r="C31" s="2797">
        <v>5.0999999999999997E-2</v>
      </c>
      <c r="D31" s="2792"/>
      <c r="E31" s="2797">
        <v>4.9999999999999996E-2</v>
      </c>
      <c r="F31" s="2792"/>
      <c r="G31" s="2797">
        <v>1.7000000000000001E-2</v>
      </c>
      <c r="H31" s="2792"/>
      <c r="I31" s="2797">
        <v>0</v>
      </c>
      <c r="J31" s="2835"/>
      <c r="K31" s="1041">
        <f t="shared" si="1"/>
        <v>8.4000000000000005E-2</v>
      </c>
      <c r="L31" s="3489"/>
      <c r="M31" s="3487"/>
      <c r="N31" s="3487"/>
    </row>
    <row r="32" spans="1:14">
      <c r="A32" s="1262" t="s">
        <v>257</v>
      </c>
      <c r="B32" s="1254"/>
      <c r="C32" s="2797">
        <v>2.3E-2</v>
      </c>
      <c r="D32" s="2792"/>
      <c r="E32" s="2797">
        <v>7.0000000000000001E-3</v>
      </c>
      <c r="F32" s="2792"/>
      <c r="G32" s="2797">
        <v>4.9999999999999996E-2</v>
      </c>
      <c r="H32" s="2792"/>
      <c r="I32" s="2797">
        <v>0.4</v>
      </c>
      <c r="J32" s="2835"/>
      <c r="K32" s="1041">
        <f>ROUND(SUM(C32)+SUM(E32)-SUM(G32)+SUM(I32),3)</f>
        <v>0.38</v>
      </c>
      <c r="L32" s="3489"/>
      <c r="M32" s="3487"/>
      <c r="N32" s="3487"/>
    </row>
    <row r="33" spans="1:14">
      <c r="A33" s="1259" t="s">
        <v>258</v>
      </c>
      <c r="B33" s="1255"/>
      <c r="C33" s="2797">
        <v>6.734</v>
      </c>
      <c r="D33" s="2792"/>
      <c r="E33" s="2797">
        <v>0.27700000000000002</v>
      </c>
      <c r="F33" s="2792"/>
      <c r="G33" s="2797">
        <v>0.127</v>
      </c>
      <c r="H33" s="2792"/>
      <c r="I33" s="2797">
        <v>0</v>
      </c>
      <c r="J33" s="2835"/>
      <c r="K33" s="1041">
        <f t="shared" si="1"/>
        <v>6.8840000000000003</v>
      </c>
      <c r="L33" s="3489"/>
      <c r="M33" s="3487"/>
      <c r="N33" s="3487"/>
    </row>
    <row r="34" spans="1:14" s="1270" customFormat="1">
      <c r="A34" s="1259" t="s">
        <v>259</v>
      </c>
      <c r="B34" s="1259"/>
      <c r="C34" s="2832"/>
      <c r="D34" s="2833"/>
      <c r="E34" s="2834"/>
      <c r="F34" s="2834"/>
      <c r="G34" s="2834"/>
      <c r="H34" s="2834"/>
      <c r="I34" s="2834"/>
      <c r="J34" s="752"/>
      <c r="K34" s="2406"/>
      <c r="L34" s="3490"/>
      <c r="M34" s="3491"/>
      <c r="N34" s="3487"/>
    </row>
    <row r="35" spans="1:14">
      <c r="A35" s="1259" t="s">
        <v>260</v>
      </c>
      <c r="B35" s="1255"/>
      <c r="C35" s="2797">
        <v>4.907</v>
      </c>
      <c r="D35" s="2792"/>
      <c r="E35" s="2797">
        <v>0.79600000000000004</v>
      </c>
      <c r="F35" s="2792"/>
      <c r="G35" s="2797">
        <v>0.22900000000000001</v>
      </c>
      <c r="H35" s="2792"/>
      <c r="I35" s="2797">
        <v>0</v>
      </c>
      <c r="J35" s="2835"/>
      <c r="K35" s="1041">
        <f>ROUND(SUM(C35)+SUM(E35)-SUM(G35)+SUM(I35),3)</f>
        <v>5.4740000000000002</v>
      </c>
      <c r="L35" s="3489"/>
      <c r="M35" s="3487"/>
      <c r="N35" s="3487"/>
    </row>
    <row r="36" spans="1:14">
      <c r="A36" s="1259" t="s">
        <v>261</v>
      </c>
      <c r="B36" s="1255"/>
      <c r="C36" s="2797">
        <v>0</v>
      </c>
      <c r="D36" s="2792"/>
      <c r="E36" s="2797">
        <v>0</v>
      </c>
      <c r="F36" s="2792"/>
      <c r="G36" s="2797">
        <v>-4.0000000000000001E-3</v>
      </c>
      <c r="H36" s="2792"/>
      <c r="I36" s="2797">
        <v>0</v>
      </c>
      <c r="J36" s="2835"/>
      <c r="K36" s="1041">
        <f t="shared" ref="K36:K59" si="2">ROUND(SUM(C36)+SUM(E36)-SUM(G36)+SUM(I36),3)</f>
        <v>4.0000000000000001E-3</v>
      </c>
      <c r="L36" s="3489"/>
      <c r="M36" s="3487"/>
      <c r="N36" s="3487"/>
    </row>
    <row r="37" spans="1:14">
      <c r="A37" s="1259" t="s">
        <v>262</v>
      </c>
      <c r="B37" s="1255"/>
      <c r="C37" s="2797">
        <v>5.6639999999999997</v>
      </c>
      <c r="D37" s="2792"/>
      <c r="E37" s="2797">
        <v>8.0000000000000002E-3</v>
      </c>
      <c r="F37" s="2792"/>
      <c r="G37" s="2797">
        <v>0</v>
      </c>
      <c r="H37" s="2792"/>
      <c r="I37" s="2797">
        <v>0</v>
      </c>
      <c r="J37" s="2835"/>
      <c r="K37" s="1041">
        <f t="shared" si="2"/>
        <v>5.6719999999999997</v>
      </c>
      <c r="L37" s="3489"/>
      <c r="M37" s="3487"/>
      <c r="N37" s="3487"/>
    </row>
    <row r="38" spans="1:14">
      <c r="A38" s="3387" t="s">
        <v>263</v>
      </c>
      <c r="B38" s="1265"/>
      <c r="C38" s="2797">
        <v>0</v>
      </c>
      <c r="D38" s="2792"/>
      <c r="E38" s="2797">
        <v>0</v>
      </c>
      <c r="F38" s="2792"/>
      <c r="G38" s="2797">
        <v>0</v>
      </c>
      <c r="H38" s="2792"/>
      <c r="I38" s="2797">
        <v>0</v>
      </c>
      <c r="J38" s="2835"/>
      <c r="K38" s="1041">
        <f t="shared" si="2"/>
        <v>0</v>
      </c>
      <c r="L38" s="3489"/>
      <c r="M38" s="3487"/>
      <c r="N38" s="3487"/>
    </row>
    <row r="39" spans="1:14">
      <c r="A39" s="1262" t="s">
        <v>264</v>
      </c>
      <c r="B39" s="1255"/>
      <c r="C39" s="2797">
        <v>14.571999999999999</v>
      </c>
      <c r="D39" s="2792"/>
      <c r="E39" s="2797">
        <v>519.55999999999995</v>
      </c>
      <c r="F39" s="2792"/>
      <c r="G39" s="2797">
        <v>345.44200000000001</v>
      </c>
      <c r="H39" s="2792"/>
      <c r="I39" s="2797">
        <v>-15.326000000000001</v>
      </c>
      <c r="J39" s="2835"/>
      <c r="K39" s="1041">
        <f t="shared" si="2"/>
        <v>173.364</v>
      </c>
      <c r="L39" s="3489"/>
      <c r="M39" s="3487"/>
      <c r="N39" s="3487"/>
    </row>
    <row r="40" spans="1:14">
      <c r="A40" s="1259" t="s">
        <v>265</v>
      </c>
      <c r="B40" s="1259"/>
      <c r="C40" s="2797">
        <v>75.055000000000007</v>
      </c>
      <c r="D40" s="2792"/>
      <c r="E40" s="2797">
        <v>41.877000000000002</v>
      </c>
      <c r="F40" s="2792"/>
      <c r="G40" s="2797">
        <v>54.8</v>
      </c>
      <c r="H40" s="2792"/>
      <c r="I40" s="2797">
        <v>0</v>
      </c>
      <c r="J40" s="2835"/>
      <c r="K40" s="1041">
        <f t="shared" si="2"/>
        <v>62.131999999999998</v>
      </c>
      <c r="L40" s="3489"/>
      <c r="M40" s="3487"/>
    </row>
    <row r="41" spans="1:14">
      <c r="A41" s="1262" t="s">
        <v>266</v>
      </c>
      <c r="B41" s="1259"/>
      <c r="C41" s="2797">
        <v>105.952</v>
      </c>
      <c r="D41" s="2792"/>
      <c r="E41" s="2797">
        <v>274.69799999999998</v>
      </c>
      <c r="F41" s="2792"/>
      <c r="G41" s="2797">
        <v>5.12</v>
      </c>
      <c r="H41" s="2792"/>
      <c r="I41" s="2797">
        <v>0</v>
      </c>
      <c r="J41" s="2835"/>
      <c r="K41" s="1041">
        <f t="shared" si="2"/>
        <v>375.53</v>
      </c>
      <c r="L41" s="3489"/>
      <c r="M41" s="3487"/>
      <c r="N41" s="3487"/>
    </row>
    <row r="42" spans="1:14">
      <c r="A42" s="1262" t="s">
        <v>267</v>
      </c>
      <c r="B42" s="1255"/>
      <c r="C42" s="2797">
        <v>9.4890000000000008</v>
      </c>
      <c r="D42" s="2792"/>
      <c r="E42" s="2797">
        <v>-0.183</v>
      </c>
      <c r="F42" s="2792"/>
      <c r="G42" s="2797">
        <v>0.184</v>
      </c>
      <c r="H42" s="2792"/>
      <c r="I42" s="2797">
        <v>0</v>
      </c>
      <c r="J42" s="2835"/>
      <c r="K42" s="1041">
        <f t="shared" si="2"/>
        <v>9.1219999999999999</v>
      </c>
      <c r="L42" s="3489"/>
      <c r="M42" s="3487"/>
      <c r="N42" s="3487"/>
    </row>
    <row r="43" spans="1:14">
      <c r="A43" s="1259" t="s">
        <v>268</v>
      </c>
      <c r="B43" s="1255"/>
      <c r="C43" s="2797">
        <v>-3.3420000000000001</v>
      </c>
      <c r="D43" s="2792"/>
      <c r="E43" s="2797">
        <v>0</v>
      </c>
      <c r="F43" s="2792"/>
      <c r="G43" s="2797">
        <v>4.2999999999999997E-2</v>
      </c>
      <c r="H43" s="2792"/>
      <c r="I43" s="2797">
        <v>0</v>
      </c>
      <c r="J43" s="2835"/>
      <c r="K43" s="1041">
        <f t="shared" si="2"/>
        <v>-3.3849999999999998</v>
      </c>
      <c r="L43" s="3489"/>
      <c r="M43" s="3487"/>
      <c r="N43" s="3487"/>
    </row>
    <row r="44" spans="1:14">
      <c r="A44" s="1259" t="s">
        <v>1322</v>
      </c>
      <c r="B44" s="1255"/>
      <c r="C44" s="2797">
        <v>-4.7080000000000002</v>
      </c>
      <c r="D44" s="2792"/>
      <c r="E44" s="2797">
        <v>8.8140000000000001</v>
      </c>
      <c r="F44" s="2792"/>
      <c r="G44" s="2797">
        <v>5.8310000000000004</v>
      </c>
      <c r="H44" s="2792"/>
      <c r="I44" s="2797">
        <v>0</v>
      </c>
      <c r="J44" s="2835"/>
      <c r="K44" s="1041">
        <f t="shared" si="2"/>
        <v>-1.7250000000000001</v>
      </c>
      <c r="L44" s="3489"/>
      <c r="M44" s="3487"/>
      <c r="N44" s="3487"/>
    </row>
    <row r="45" spans="1:14">
      <c r="A45" s="1259" t="s">
        <v>269</v>
      </c>
      <c r="B45" s="1259"/>
      <c r="C45" s="2797">
        <v>73.557000000000002</v>
      </c>
      <c r="D45" s="2792"/>
      <c r="E45" s="2797">
        <v>1.458</v>
      </c>
      <c r="F45" s="2792"/>
      <c r="G45" s="2797">
        <v>1.8640000000000001</v>
      </c>
      <c r="H45" s="2792"/>
      <c r="I45" s="2797">
        <v>0</v>
      </c>
      <c r="J45" s="2835"/>
      <c r="K45" s="1041">
        <f t="shared" si="2"/>
        <v>73.150999999999996</v>
      </c>
      <c r="L45" s="3489"/>
      <c r="M45" s="3487"/>
      <c r="N45" s="3487"/>
    </row>
    <row r="46" spans="1:14">
      <c r="A46" s="1259" t="s">
        <v>270</v>
      </c>
      <c r="B46" s="1255"/>
      <c r="C46" s="2797">
        <v>36.753999999999998</v>
      </c>
      <c r="D46" s="2792"/>
      <c r="E46" s="2797">
        <v>2.8109999999999999</v>
      </c>
      <c r="F46" s="2792"/>
      <c r="G46" s="2797">
        <v>1.133</v>
      </c>
      <c r="H46" s="2792"/>
      <c r="I46" s="2797">
        <v>-0.40500000000000003</v>
      </c>
      <c r="J46" s="2835"/>
      <c r="K46" s="1041">
        <f t="shared" si="2"/>
        <v>38.027000000000001</v>
      </c>
      <c r="L46" s="3489"/>
      <c r="M46" s="3487"/>
      <c r="N46" s="3487"/>
    </row>
    <row r="47" spans="1:14">
      <c r="A47" s="1255" t="s">
        <v>271</v>
      </c>
      <c r="B47" s="1255"/>
      <c r="C47" s="2797">
        <v>4.3330000000000002</v>
      </c>
      <c r="D47" s="2792"/>
      <c r="E47" s="2797">
        <v>17.009</v>
      </c>
      <c r="F47" s="2792"/>
      <c r="G47" s="2797">
        <v>4.0389999999999997</v>
      </c>
      <c r="H47" s="2792"/>
      <c r="I47" s="2797">
        <v>0</v>
      </c>
      <c r="J47" s="2835"/>
      <c r="K47" s="1041">
        <f t="shared" si="2"/>
        <v>17.303000000000001</v>
      </c>
      <c r="L47" s="3489"/>
      <c r="M47" s="3487"/>
      <c r="N47" s="3487"/>
    </row>
    <row r="48" spans="1:14">
      <c r="A48" s="1255" t="s">
        <v>272</v>
      </c>
      <c r="B48" s="1255"/>
      <c r="C48" s="2797">
        <v>7.63</v>
      </c>
      <c r="D48" s="2792"/>
      <c r="E48" s="2797">
        <v>0.53600000000000003</v>
      </c>
      <c r="F48" s="2792"/>
      <c r="G48" s="2797">
        <v>0.254</v>
      </c>
      <c r="H48" s="2792"/>
      <c r="I48" s="2797">
        <v>0</v>
      </c>
      <c r="J48" s="2835"/>
      <c r="K48" s="1041">
        <f t="shared" si="2"/>
        <v>7.9119999999999999</v>
      </c>
      <c r="L48" s="3489"/>
      <c r="M48" s="3487"/>
      <c r="N48" s="3487"/>
    </row>
    <row r="49" spans="1:14">
      <c r="A49" s="1261" t="s">
        <v>273</v>
      </c>
      <c r="B49" s="1255"/>
      <c r="C49" s="2797">
        <v>0.53700000000000003</v>
      </c>
      <c r="D49" s="2792"/>
      <c r="E49" s="2797">
        <v>3.0000000000000001E-3</v>
      </c>
      <c r="F49" s="2792"/>
      <c r="G49" s="2797">
        <v>0</v>
      </c>
      <c r="H49" s="2792"/>
      <c r="I49" s="2797">
        <v>0</v>
      </c>
      <c r="J49" s="2835"/>
      <c r="K49" s="1041">
        <f t="shared" si="2"/>
        <v>0.54</v>
      </c>
      <c r="L49" s="3489"/>
      <c r="M49" s="3487"/>
      <c r="N49" s="3487"/>
    </row>
    <row r="50" spans="1:14">
      <c r="A50" s="1255" t="s">
        <v>274</v>
      </c>
      <c r="B50" s="1255"/>
      <c r="C50" s="2797">
        <v>17.716000000000001</v>
      </c>
      <c r="D50" s="2792"/>
      <c r="E50" s="2797">
        <v>249.399</v>
      </c>
      <c r="F50" s="2792"/>
      <c r="G50" s="2797">
        <v>0.29299999999999998</v>
      </c>
      <c r="H50" s="2792"/>
      <c r="I50" s="2797">
        <v>0.17499999999999999</v>
      </c>
      <c r="J50" s="2835"/>
      <c r="K50" s="1041">
        <f t="shared" si="2"/>
        <v>266.99700000000001</v>
      </c>
      <c r="L50" s="3489"/>
      <c r="M50" s="3487"/>
      <c r="N50" s="3487"/>
    </row>
    <row r="51" spans="1:14">
      <c r="A51" s="1255" t="s">
        <v>275</v>
      </c>
      <c r="B51" s="1255"/>
      <c r="C51" s="2797">
        <v>-25.556000000000001</v>
      </c>
      <c r="D51" s="2792"/>
      <c r="E51" s="2797">
        <v>2.9860000000000002</v>
      </c>
      <c r="F51" s="2792"/>
      <c r="G51" s="2797">
        <v>2.3290000000000002</v>
      </c>
      <c r="H51" s="2792"/>
      <c r="I51" s="2797">
        <v>0</v>
      </c>
      <c r="J51" s="2835"/>
      <c r="K51" s="1041">
        <f t="shared" si="2"/>
        <v>-24.899000000000001</v>
      </c>
      <c r="L51" s="3489"/>
      <c r="M51" s="3487"/>
      <c r="N51" s="3487"/>
    </row>
    <row r="52" spans="1:14">
      <c r="A52" s="1255" t="s">
        <v>276</v>
      </c>
      <c r="B52" s="1255"/>
      <c r="C52" s="2797">
        <v>6.8000000000000005E-2</v>
      </c>
      <c r="D52" s="2792"/>
      <c r="E52" s="2797">
        <v>0</v>
      </c>
      <c r="F52" s="2792"/>
      <c r="G52" s="2797">
        <v>0</v>
      </c>
      <c r="H52" s="2792"/>
      <c r="I52" s="2797">
        <v>0</v>
      </c>
      <c r="J52" s="2835"/>
      <c r="K52" s="1041">
        <f t="shared" si="2"/>
        <v>6.8000000000000005E-2</v>
      </c>
      <c r="L52" s="3489"/>
      <c r="M52" s="3487"/>
      <c r="N52" s="3487"/>
    </row>
    <row r="53" spans="1:14">
      <c r="A53" s="1255" t="s">
        <v>1091</v>
      </c>
      <c r="B53" s="1255"/>
      <c r="C53" s="2797">
        <v>10.926</v>
      </c>
      <c r="D53" s="2792"/>
      <c r="E53" s="2797">
        <v>0.16900000000000001</v>
      </c>
      <c r="F53" s="2792"/>
      <c r="G53" s="2797">
        <v>0.108</v>
      </c>
      <c r="H53" s="2792"/>
      <c r="I53" s="2797">
        <v>0</v>
      </c>
      <c r="J53" s="2835"/>
      <c r="K53" s="1041">
        <f t="shared" si="2"/>
        <v>10.987</v>
      </c>
      <c r="L53" s="3489"/>
      <c r="M53" s="3487"/>
      <c r="N53" s="3487"/>
    </row>
    <row r="54" spans="1:14">
      <c r="A54" s="1255" t="s">
        <v>277</v>
      </c>
      <c r="B54" s="1255"/>
      <c r="C54" s="2797">
        <v>0</v>
      </c>
      <c r="D54" s="2792"/>
      <c r="E54" s="2797">
        <v>0</v>
      </c>
      <c r="F54" s="2792"/>
      <c r="G54" s="2797">
        <v>0</v>
      </c>
      <c r="H54" s="2792"/>
      <c r="I54" s="2797">
        <v>0</v>
      </c>
      <c r="J54" s="2835"/>
      <c r="K54" s="1041">
        <f t="shared" si="2"/>
        <v>0</v>
      </c>
      <c r="L54" s="3489"/>
      <c r="M54" s="3487"/>
    </row>
    <row r="55" spans="1:14">
      <c r="A55" s="1262" t="s">
        <v>278</v>
      </c>
      <c r="B55" s="1255"/>
      <c r="C55" s="2797">
        <v>0.46100000000000002</v>
      </c>
      <c r="D55" s="2792"/>
      <c r="E55" s="2797">
        <v>0</v>
      </c>
      <c r="F55" s="2792"/>
      <c r="G55" s="2797">
        <v>0</v>
      </c>
      <c r="H55" s="2792"/>
      <c r="I55" s="2797">
        <v>0</v>
      </c>
      <c r="J55" s="2835"/>
      <c r="K55" s="1041">
        <f t="shared" si="2"/>
        <v>0.46100000000000002</v>
      </c>
      <c r="L55" s="3489"/>
      <c r="M55" s="3487"/>
      <c r="N55" s="3487"/>
    </row>
    <row r="56" spans="1:14">
      <c r="A56" s="1261" t="s">
        <v>279</v>
      </c>
      <c r="B56" s="1255"/>
      <c r="C56" s="2797">
        <v>0</v>
      </c>
      <c r="D56" s="2792"/>
      <c r="E56" s="2797">
        <v>0</v>
      </c>
      <c r="F56" s="2792"/>
      <c r="G56" s="2797">
        <v>0</v>
      </c>
      <c r="H56" s="2792"/>
      <c r="I56" s="2797">
        <v>0</v>
      </c>
      <c r="J56" s="2835"/>
      <c r="K56" s="1041">
        <f t="shared" si="2"/>
        <v>0</v>
      </c>
      <c r="L56" s="3489"/>
      <c r="M56" s="3487"/>
      <c r="N56" s="3487"/>
    </row>
    <row r="57" spans="1:14">
      <c r="A57" s="1261" t="s">
        <v>280</v>
      </c>
      <c r="B57" s="1255"/>
      <c r="C57" s="2797">
        <v>1E-3</v>
      </c>
      <c r="D57" s="2792"/>
      <c r="E57" s="2797">
        <v>0</v>
      </c>
      <c r="F57" s="2792"/>
      <c r="G57" s="2797">
        <v>0</v>
      </c>
      <c r="H57" s="2792"/>
      <c r="I57" s="2797">
        <v>0</v>
      </c>
      <c r="J57" s="2835"/>
      <c r="K57" s="1041">
        <f t="shared" si="2"/>
        <v>1E-3</v>
      </c>
      <c r="L57" s="3489"/>
      <c r="M57" s="3487"/>
      <c r="N57" s="3487"/>
    </row>
    <row r="58" spans="1:14">
      <c r="A58" s="1261" t="s">
        <v>281</v>
      </c>
      <c r="B58" s="1255"/>
      <c r="C58" s="2797">
        <v>0.91600000000000004</v>
      </c>
      <c r="D58" s="2792"/>
      <c r="E58" s="2797">
        <v>2E-3</v>
      </c>
      <c r="F58" s="2792"/>
      <c r="G58" s="2797">
        <v>0</v>
      </c>
      <c r="H58" s="2792"/>
      <c r="I58" s="2797">
        <v>0</v>
      </c>
      <c r="J58" s="2835"/>
      <c r="K58" s="1041">
        <f t="shared" si="2"/>
        <v>0.91800000000000004</v>
      </c>
      <c r="L58" s="3489"/>
      <c r="M58" s="3487"/>
      <c r="N58" s="3487"/>
    </row>
    <row r="59" spans="1:14">
      <c r="A59" s="1262" t="s">
        <v>282</v>
      </c>
      <c r="B59" s="1259"/>
      <c r="C59" s="2797">
        <v>1240.4179999999999</v>
      </c>
      <c r="D59" s="2792"/>
      <c r="E59" s="2797">
        <v>362.16300000000001</v>
      </c>
      <c r="F59" s="2792"/>
      <c r="G59" s="2797">
        <v>116.40900000000001</v>
      </c>
      <c r="H59" s="2792"/>
      <c r="I59" s="2797">
        <v>8.1829999999999998</v>
      </c>
      <c r="J59" s="2835"/>
      <c r="K59" s="1041">
        <f t="shared" si="2"/>
        <v>1494.355</v>
      </c>
      <c r="L59" s="3489"/>
      <c r="M59" s="3492"/>
      <c r="N59" s="3487"/>
    </row>
    <row r="60" spans="1:14">
      <c r="A60" s="754"/>
      <c r="B60" s="1336"/>
      <c r="C60" s="2248"/>
      <c r="D60" s="1336"/>
      <c r="E60" s="3446"/>
      <c r="F60" s="3446"/>
      <c r="G60" s="3446"/>
      <c r="H60" s="3446"/>
      <c r="I60" s="3446"/>
      <c r="J60" s="1336"/>
      <c r="K60" s="1336"/>
      <c r="L60" s="3490"/>
      <c r="M60" s="3487"/>
      <c r="N60" s="3487"/>
    </row>
    <row r="61" spans="1:14">
      <c r="A61" s="754"/>
      <c r="B61" s="1336"/>
      <c r="C61" s="2248"/>
      <c r="D61" s="1336"/>
      <c r="E61" s="3446"/>
      <c r="F61" s="3446"/>
      <c r="G61" s="3446"/>
      <c r="H61" s="3446"/>
      <c r="I61" s="3446"/>
      <c r="J61" s="1336"/>
      <c r="K61" s="1336"/>
      <c r="L61" s="3490"/>
      <c r="N61" s="3487"/>
    </row>
    <row r="62" spans="1:14">
      <c r="A62" s="750" t="s">
        <v>1018</v>
      </c>
      <c r="B62" s="1259"/>
      <c r="C62" s="2249"/>
      <c r="E62" s="3474"/>
      <c r="F62" s="3474"/>
      <c r="G62" s="3474"/>
      <c r="H62" s="3474"/>
      <c r="I62" s="3474"/>
      <c r="J62" s="1270"/>
      <c r="K62" s="1269"/>
      <c r="L62" s="3493"/>
      <c r="M62" s="3487"/>
      <c r="N62" s="3487"/>
    </row>
    <row r="63" spans="1:14" s="1270" customFormat="1">
      <c r="A63" s="1259" t="s">
        <v>283</v>
      </c>
      <c r="B63" s="1259"/>
      <c r="C63" s="2797">
        <v>2.883</v>
      </c>
      <c r="D63" s="2792"/>
      <c r="E63" s="2797">
        <v>8.9999999999999993E-3</v>
      </c>
      <c r="F63" s="2792"/>
      <c r="G63" s="2797">
        <v>2.2949999999999999</v>
      </c>
      <c r="H63" s="2792"/>
      <c r="I63" s="2797">
        <v>61.994999999999997</v>
      </c>
      <c r="J63" s="2835"/>
      <c r="K63" s="1041">
        <f>ROUND(SUM(C63)+SUM(E63)-SUM(G63)+SUM(I63),3)</f>
        <v>62.591999999999999</v>
      </c>
      <c r="L63" s="3489"/>
      <c r="M63" s="3491"/>
      <c r="N63" s="3487"/>
    </row>
    <row r="64" spans="1:14" s="1270" customFormat="1">
      <c r="A64" s="1259" t="s">
        <v>284</v>
      </c>
      <c r="B64" s="2835"/>
      <c r="C64" s="2797">
        <v>0.05</v>
      </c>
      <c r="D64" s="2792"/>
      <c r="E64" s="2797">
        <v>0</v>
      </c>
      <c r="F64" s="2792"/>
      <c r="G64" s="2797">
        <v>0</v>
      </c>
      <c r="H64" s="2792"/>
      <c r="I64" s="2797">
        <v>0</v>
      </c>
      <c r="J64" s="2835"/>
      <c r="K64" s="1041">
        <f>ROUND(SUM(C64)+SUM(E64)-SUM(G64)+SUM(I64),3)</f>
        <v>0.05</v>
      </c>
      <c r="L64" s="3489"/>
      <c r="M64" s="3491"/>
      <c r="N64" s="3487"/>
    </row>
    <row r="65" spans="1:14" s="1270" customFormat="1">
      <c r="A65" s="1259" t="s">
        <v>285</v>
      </c>
      <c r="B65" s="1259"/>
      <c r="C65" s="2797">
        <v>1370.597</v>
      </c>
      <c r="D65" s="2792"/>
      <c r="E65" s="2797">
        <v>291.47500000000002</v>
      </c>
      <c r="F65" s="2792"/>
      <c r="G65" s="2797">
        <v>520.447</v>
      </c>
      <c r="H65" s="2792"/>
      <c r="I65" s="2797">
        <v>370.685</v>
      </c>
      <c r="J65" s="2835"/>
      <c r="K65" s="1041">
        <f>ROUND(SUM(C65)+SUM(E65)-SUM(G65)+SUM(I65),3)</f>
        <v>1512.31</v>
      </c>
      <c r="L65" s="3489"/>
      <c r="M65" s="3491"/>
      <c r="N65" s="3487"/>
    </row>
    <row r="66" spans="1:14" s="1270" customFormat="1">
      <c r="A66" s="1262" t="s">
        <v>286</v>
      </c>
      <c r="B66" s="1259"/>
      <c r="C66" s="2797">
        <v>14.526</v>
      </c>
      <c r="D66" s="2792"/>
      <c r="E66" s="2797">
        <v>3.2040000000000002</v>
      </c>
      <c r="F66" s="2792"/>
      <c r="G66" s="2797">
        <v>3.7999999999999999E-2</v>
      </c>
      <c r="H66" s="2792"/>
      <c r="I66" s="2797">
        <v>0</v>
      </c>
      <c r="J66" s="2835"/>
      <c r="K66" s="1041">
        <f>ROUND(SUM(C66)+SUM(E66)-SUM(G66)+SUM(I66),3)</f>
        <v>17.692</v>
      </c>
      <c r="L66" s="3489"/>
      <c r="M66" s="3491"/>
      <c r="N66" s="3487"/>
    </row>
    <row r="67" spans="1:14" s="1270" customFormat="1">
      <c r="A67" s="1259" t="s">
        <v>287</v>
      </c>
      <c r="B67" s="1259"/>
      <c r="C67" s="2797">
        <v>-0.14199999999999999</v>
      </c>
      <c r="D67" s="2792"/>
      <c r="E67" s="2797">
        <v>0</v>
      </c>
      <c r="F67" s="2792"/>
      <c r="G67" s="2797">
        <v>7.0999999999999994E-2</v>
      </c>
      <c r="H67" s="2792"/>
      <c r="I67" s="2797">
        <v>0</v>
      </c>
      <c r="J67" s="2835"/>
      <c r="K67" s="1041">
        <f>ROUND(SUM(C67)+SUM(E67)-SUM(G67)+SUM(I67),3)</f>
        <v>-0.21299999999999999</v>
      </c>
      <c r="L67" s="3489"/>
      <c r="M67" s="3491"/>
      <c r="N67" s="3487"/>
    </row>
    <row r="68" spans="1:14" s="1270" customFormat="1">
      <c r="A68" s="1259" t="s">
        <v>288</v>
      </c>
      <c r="B68" s="1259"/>
      <c r="C68" s="2832"/>
      <c r="D68" s="2833"/>
      <c r="E68" s="2836"/>
      <c r="F68" s="2837"/>
      <c r="G68" s="2836"/>
      <c r="H68" s="2837"/>
      <c r="I68" s="2838"/>
      <c r="J68" s="1259"/>
      <c r="K68" s="1041" t="s">
        <v>15</v>
      </c>
      <c r="L68" s="3489"/>
      <c r="M68" s="3491"/>
      <c r="N68" s="3487"/>
    </row>
    <row r="69" spans="1:14" s="1270" customFormat="1">
      <c r="A69" s="1259" t="s">
        <v>289</v>
      </c>
      <c r="B69" s="1259"/>
      <c r="C69" s="2797">
        <v>27.137</v>
      </c>
      <c r="D69" s="2792"/>
      <c r="E69" s="2797">
        <v>10.623999999999999</v>
      </c>
      <c r="F69" s="2792"/>
      <c r="G69" s="2797">
        <v>0.28000000000000003</v>
      </c>
      <c r="H69" s="2792"/>
      <c r="I69" s="2797">
        <v>0</v>
      </c>
      <c r="J69" s="2835"/>
      <c r="K69" s="1041">
        <f t="shared" ref="K69:K74" si="3">ROUND(SUM(C69)+SUM(E69)-SUM(G69)+SUM(I69),3)</f>
        <v>37.481000000000002</v>
      </c>
      <c r="L69" s="3489"/>
      <c r="M69" s="3491"/>
    </row>
    <row r="70" spans="1:14" s="1270" customFormat="1">
      <c r="A70" s="1259" t="s">
        <v>290</v>
      </c>
      <c r="B70" s="753"/>
      <c r="C70" s="2797">
        <v>0.70399999999999996</v>
      </c>
      <c r="D70" s="2792"/>
      <c r="E70" s="2797">
        <v>1E-3</v>
      </c>
      <c r="F70" s="2792"/>
      <c r="G70" s="2797">
        <v>1.8000000000000002E-2</v>
      </c>
      <c r="H70" s="2792"/>
      <c r="I70" s="2797">
        <v>0</v>
      </c>
      <c r="J70" s="2835"/>
      <c r="K70" s="1041">
        <f t="shared" si="3"/>
        <v>0.68700000000000006</v>
      </c>
      <c r="L70" s="3489"/>
      <c r="M70" s="3491"/>
      <c r="N70" s="3487"/>
    </row>
    <row r="71" spans="1:14" s="1270" customFormat="1">
      <c r="A71" s="1259" t="s">
        <v>291</v>
      </c>
      <c r="B71" s="1259"/>
      <c r="C71" s="2797">
        <v>2.3E-2</v>
      </c>
      <c r="D71" s="2792"/>
      <c r="E71" s="2797">
        <v>0</v>
      </c>
      <c r="F71" s="2792"/>
      <c r="G71" s="2797">
        <v>0</v>
      </c>
      <c r="H71" s="2792"/>
      <c r="I71" s="2797">
        <v>0</v>
      </c>
      <c r="J71" s="2835"/>
      <c r="K71" s="1041">
        <f t="shared" si="3"/>
        <v>2.3E-2</v>
      </c>
      <c r="L71" s="3489"/>
      <c r="M71" s="3491"/>
      <c r="N71" s="3487"/>
    </row>
    <row r="72" spans="1:14" s="1270" customFormat="1">
      <c r="A72" s="1262" t="s">
        <v>292</v>
      </c>
      <c r="B72" s="1259"/>
      <c r="C72" s="2797">
        <v>10.558</v>
      </c>
      <c r="D72" s="2792"/>
      <c r="E72" s="2797">
        <v>1.4E-2</v>
      </c>
      <c r="F72" s="2792"/>
      <c r="G72" s="2797">
        <v>0.27300000000000002</v>
      </c>
      <c r="H72" s="2792"/>
      <c r="I72" s="2797">
        <v>0</v>
      </c>
      <c r="J72" s="2835"/>
      <c r="K72" s="1041">
        <f t="shared" si="3"/>
        <v>10.298999999999999</v>
      </c>
      <c r="L72" s="3489"/>
      <c r="M72" s="3491"/>
      <c r="N72" s="3487"/>
    </row>
    <row r="73" spans="1:14" s="1270" customFormat="1">
      <c r="A73" s="1259" t="s">
        <v>293</v>
      </c>
      <c r="B73" s="1259"/>
      <c r="C73" s="2797">
        <v>-10.567</v>
      </c>
      <c r="D73" s="2792"/>
      <c r="E73" s="2797">
        <v>0.09</v>
      </c>
      <c r="F73" s="2792"/>
      <c r="G73" s="2797">
        <v>0.253</v>
      </c>
      <c r="H73" s="2792"/>
      <c r="I73" s="2797">
        <v>0</v>
      </c>
      <c r="J73" s="2835"/>
      <c r="K73" s="1041">
        <f t="shared" ref="K73" si="4">ROUND(SUM(C73)+SUM(E73)-SUM(G73)+SUM(I73),3)</f>
        <v>-10.73</v>
      </c>
      <c r="L73" s="3489"/>
      <c r="M73" s="3491"/>
      <c r="N73" s="3487"/>
    </row>
    <row r="74" spans="1:14" s="1270" customFormat="1">
      <c r="A74" s="1259" t="s">
        <v>294</v>
      </c>
      <c r="B74" s="1259"/>
      <c r="C74" s="2797">
        <v>4.0000000000000001E-3</v>
      </c>
      <c r="D74" s="2792"/>
      <c r="E74" s="2797">
        <v>4.0000000000000001E-3</v>
      </c>
      <c r="F74" s="2792"/>
      <c r="G74" s="2797">
        <v>0</v>
      </c>
      <c r="H74" s="2792"/>
      <c r="I74" s="2797">
        <v>0</v>
      </c>
      <c r="J74" s="2835"/>
      <c r="K74" s="1041">
        <f t="shared" si="3"/>
        <v>8.0000000000000002E-3</v>
      </c>
      <c r="L74" s="3489"/>
      <c r="M74" s="3491"/>
      <c r="N74" s="3487"/>
    </row>
    <row r="75" spans="1:14" s="1270" customFormat="1">
      <c r="A75" s="1259" t="s">
        <v>295</v>
      </c>
      <c r="B75" s="1259"/>
      <c r="C75" s="2832"/>
      <c r="D75" s="2833"/>
      <c r="E75" s="2836"/>
      <c r="F75" s="2837"/>
      <c r="G75" s="2836"/>
      <c r="H75" s="2837"/>
      <c r="I75" s="2836"/>
      <c r="J75" s="1259"/>
      <c r="K75" s="1041"/>
      <c r="L75" s="3494"/>
      <c r="M75" s="3491"/>
      <c r="N75" s="3487"/>
    </row>
    <row r="76" spans="1:14" s="1270" customFormat="1">
      <c r="A76" s="1259" t="s">
        <v>296</v>
      </c>
      <c r="B76" s="1259"/>
      <c r="C76" s="2797">
        <v>-5.351</v>
      </c>
      <c r="D76" s="2792"/>
      <c r="E76" s="2797">
        <v>0</v>
      </c>
      <c r="F76" s="2792"/>
      <c r="G76" s="2797">
        <v>0</v>
      </c>
      <c r="H76" s="2792"/>
      <c r="I76" s="2797">
        <v>0</v>
      </c>
      <c r="J76" s="2835"/>
      <c r="K76" s="1041">
        <f>ROUND(SUM(C76)+SUM(E76)-SUM(G76)+SUM(I76),3)</f>
        <v>-5.351</v>
      </c>
      <c r="L76" s="3489"/>
      <c r="M76" s="3491"/>
      <c r="N76" s="3487"/>
    </row>
    <row r="77" spans="1:14" s="1270" customFormat="1">
      <c r="A77" s="1259" t="s">
        <v>297</v>
      </c>
      <c r="B77" s="1259"/>
      <c r="C77" s="2797">
        <v>-25.782</v>
      </c>
      <c r="D77" s="2792"/>
      <c r="E77" s="2797">
        <v>0</v>
      </c>
      <c r="F77" s="2792"/>
      <c r="G77" s="2797">
        <v>5.9020000000000001</v>
      </c>
      <c r="H77" s="2792"/>
      <c r="I77" s="2797">
        <v>3.0510000000000002</v>
      </c>
      <c r="J77" s="2835"/>
      <c r="K77" s="1041">
        <f t="shared" ref="K77:K88" si="5">ROUND(SUM(C77)+SUM(E77)-SUM(G77)+SUM(I77),3)</f>
        <v>-28.632999999999999</v>
      </c>
      <c r="L77" s="3489"/>
      <c r="M77" s="3491"/>
      <c r="N77" s="3487"/>
    </row>
    <row r="78" spans="1:14" s="1270" customFormat="1">
      <c r="A78" s="1259" t="s">
        <v>298</v>
      </c>
      <c r="B78" s="1259"/>
      <c r="C78" s="2797">
        <v>19.608000000000001</v>
      </c>
      <c r="D78" s="2792"/>
      <c r="E78" s="2797">
        <v>2.633</v>
      </c>
      <c r="F78" s="2792"/>
      <c r="G78" s="2797">
        <v>5.7320000000000002</v>
      </c>
      <c r="H78" s="2792"/>
      <c r="I78" s="2797">
        <v>0</v>
      </c>
      <c r="J78" s="2835"/>
      <c r="K78" s="1041">
        <f t="shared" si="5"/>
        <v>16.509</v>
      </c>
      <c r="L78" s="3489"/>
      <c r="M78" s="3491"/>
      <c r="N78" s="3487"/>
    </row>
    <row r="79" spans="1:14" s="1270" customFormat="1">
      <c r="A79" s="1259" t="s">
        <v>1051</v>
      </c>
      <c r="B79" s="1259"/>
      <c r="C79" s="2797">
        <v>169.19900000000001</v>
      </c>
      <c r="D79" s="2792"/>
      <c r="E79" s="2797">
        <v>6.54</v>
      </c>
      <c r="F79" s="2792"/>
      <c r="G79" s="2797">
        <v>6.4649999999999999</v>
      </c>
      <c r="H79" s="2792"/>
      <c r="I79" s="2797">
        <v>0</v>
      </c>
      <c r="J79" s="2835"/>
      <c r="K79" s="1041">
        <f t="shared" si="5"/>
        <v>169.274</v>
      </c>
      <c r="L79" s="3489"/>
      <c r="M79" s="3491"/>
      <c r="N79" s="3487"/>
    </row>
    <row r="80" spans="1:14" s="1270" customFormat="1">
      <c r="A80" s="1259" t="s">
        <v>299</v>
      </c>
      <c r="B80" s="1259"/>
      <c r="C80" s="2797">
        <v>0.18</v>
      </c>
      <c r="D80" s="2792"/>
      <c r="E80" s="2797">
        <v>8.0000000000000002E-3</v>
      </c>
      <c r="F80" s="2792"/>
      <c r="G80" s="2797">
        <v>0</v>
      </c>
      <c r="H80" s="2792"/>
      <c r="I80" s="2797">
        <v>0</v>
      </c>
      <c r="J80" s="2835"/>
      <c r="K80" s="1041">
        <f t="shared" si="5"/>
        <v>0.188</v>
      </c>
      <c r="L80" s="3489"/>
      <c r="M80" s="3491"/>
      <c r="N80" s="3487"/>
    </row>
    <row r="81" spans="1:15" s="1270" customFormat="1">
      <c r="A81" s="1262" t="s">
        <v>300</v>
      </c>
      <c r="B81" s="1259"/>
      <c r="C81" s="2797">
        <v>263.67399999999998</v>
      </c>
      <c r="D81" s="2792"/>
      <c r="E81" s="2797">
        <v>7.5010000000000003</v>
      </c>
      <c r="F81" s="2792"/>
      <c r="G81" s="2797">
        <v>17.234999999999999</v>
      </c>
      <c r="H81" s="2792"/>
      <c r="I81" s="2797">
        <v>0</v>
      </c>
      <c r="J81" s="2835"/>
      <c r="K81" s="1041">
        <f t="shared" si="5"/>
        <v>253.94</v>
      </c>
      <c r="L81" s="3489"/>
      <c r="M81" s="3491"/>
      <c r="N81" s="3487"/>
    </row>
    <row r="82" spans="1:15" s="1270" customFormat="1">
      <c r="A82" s="1259" t="s">
        <v>301</v>
      </c>
      <c r="B82" s="1259"/>
      <c r="C82" s="2797">
        <v>35.533000000000001</v>
      </c>
      <c r="D82" s="2792"/>
      <c r="E82" s="2797">
        <v>1.3059999999999998</v>
      </c>
      <c r="F82" s="2792"/>
      <c r="G82" s="2797">
        <v>0.34899999999999998</v>
      </c>
      <c r="H82" s="2792"/>
      <c r="I82" s="2797">
        <v>0</v>
      </c>
      <c r="J82" s="2835"/>
      <c r="K82" s="1041">
        <f t="shared" si="5"/>
        <v>36.49</v>
      </c>
      <c r="L82" s="3489"/>
      <c r="M82" s="3491"/>
      <c r="N82" s="3487"/>
    </row>
    <row r="83" spans="1:15" s="1270" customFormat="1">
      <c r="A83" s="1262" t="s">
        <v>302</v>
      </c>
      <c r="B83" s="1259"/>
      <c r="C83" s="2797">
        <v>165.72800000000001</v>
      </c>
      <c r="D83" s="2792"/>
      <c r="E83" s="2797">
        <v>31.786000000000001</v>
      </c>
      <c r="F83" s="2792"/>
      <c r="G83" s="2797">
        <v>135.00800000000001</v>
      </c>
      <c r="H83" s="2792"/>
      <c r="I83" s="2797">
        <v>48.849000000000004</v>
      </c>
      <c r="J83" s="2835"/>
      <c r="K83" s="1041">
        <f t="shared" si="5"/>
        <v>111.355</v>
      </c>
      <c r="L83" s="3489"/>
      <c r="M83" s="3491"/>
      <c r="N83" s="3487"/>
    </row>
    <row r="84" spans="1:15" s="1270" customFormat="1">
      <c r="A84" s="1262" t="s">
        <v>1321</v>
      </c>
      <c r="B84" s="1259"/>
      <c r="C84" s="2797">
        <v>23.436</v>
      </c>
      <c r="D84" s="2792"/>
      <c r="E84" s="2797">
        <v>12.651</v>
      </c>
      <c r="F84" s="2792"/>
      <c r="G84" s="2797">
        <v>7.2430000000000003</v>
      </c>
      <c r="H84" s="2792"/>
      <c r="I84" s="2797">
        <v>0</v>
      </c>
      <c r="J84" s="2835"/>
      <c r="K84" s="1041">
        <f t="shared" si="5"/>
        <v>28.844000000000001</v>
      </c>
      <c r="L84" s="3489"/>
      <c r="M84" s="3491"/>
      <c r="N84" s="3487"/>
    </row>
    <row r="85" spans="1:15" s="1270" customFormat="1">
      <c r="A85" s="1262" t="s">
        <v>1423</v>
      </c>
      <c r="B85" s="1259"/>
      <c r="C85" s="2797">
        <v>5.6159999999999997</v>
      </c>
      <c r="D85" s="2792"/>
      <c r="E85" s="2797">
        <v>0.23599999999999999</v>
      </c>
      <c r="F85" s="2792"/>
      <c r="G85" s="2797">
        <v>0.16800000000000001</v>
      </c>
      <c r="H85" s="2792"/>
      <c r="I85" s="2797">
        <v>0</v>
      </c>
      <c r="J85" s="2835"/>
      <c r="K85" s="1041">
        <f t="shared" si="5"/>
        <v>5.6840000000000002</v>
      </c>
      <c r="L85" s="3489"/>
      <c r="M85" s="3491"/>
      <c r="N85" s="3487"/>
    </row>
    <row r="86" spans="1:15" s="1270" customFormat="1">
      <c r="A86" s="1262" t="s">
        <v>1396</v>
      </c>
      <c r="B86" s="1259"/>
      <c r="C86" s="2797">
        <v>4.1120000000000001</v>
      </c>
      <c r="D86" s="2792"/>
      <c r="E86" s="2797">
        <v>2.9249999999999998</v>
      </c>
      <c r="F86" s="2792"/>
      <c r="G86" s="2797">
        <v>1.7999999999999999E-2</v>
      </c>
      <c r="H86" s="2792"/>
      <c r="I86" s="2797">
        <v>0</v>
      </c>
      <c r="J86" s="2835"/>
      <c r="K86" s="1041">
        <f>ROUND(SUM(C86)+SUM(E86)-SUM(G86)+SUM(I86),3)</f>
        <v>7.0190000000000001</v>
      </c>
      <c r="L86" s="3489"/>
      <c r="M86" s="3491"/>
      <c r="N86" s="3487"/>
    </row>
    <row r="87" spans="1:15" s="1270" customFormat="1">
      <c r="A87" s="1262" t="s">
        <v>1413</v>
      </c>
      <c r="B87" s="1259"/>
      <c r="C87" s="2797">
        <v>8.0079999999999991</v>
      </c>
      <c r="D87" s="2792"/>
      <c r="E87" s="2797">
        <v>0.35399999999999998</v>
      </c>
      <c r="F87" s="2792"/>
      <c r="G87" s="2797">
        <v>0</v>
      </c>
      <c r="H87" s="2792"/>
      <c r="I87" s="2797">
        <v>0</v>
      </c>
      <c r="J87" s="2835"/>
      <c r="K87" s="1041">
        <f>ROUND(SUM(C87)+SUM(E87)-SUM(G87)+SUM(I87),3)</f>
        <v>8.3620000000000001</v>
      </c>
      <c r="L87" s="3489"/>
      <c r="M87" s="3491"/>
      <c r="N87" s="3487"/>
    </row>
    <row r="88" spans="1:15" s="1270" customFormat="1">
      <c r="A88" s="2837" t="s">
        <v>985</v>
      </c>
      <c r="B88" s="1259"/>
      <c r="C88" s="2797">
        <v>240.23500000000001</v>
      </c>
      <c r="D88" s="2792"/>
      <c r="E88" s="2797">
        <v>21.808</v>
      </c>
      <c r="F88" s="2792"/>
      <c r="G88" s="2797">
        <v>0</v>
      </c>
      <c r="H88" s="2792"/>
      <c r="I88" s="2797">
        <v>-21.225999999999999</v>
      </c>
      <c r="J88" s="2835"/>
      <c r="K88" s="1041">
        <f t="shared" si="5"/>
        <v>240.81700000000001</v>
      </c>
      <c r="L88" s="3489"/>
      <c r="M88" s="3491"/>
      <c r="N88" s="3487"/>
    </row>
    <row r="89" spans="1:15">
      <c r="A89" s="741" t="s">
        <v>303</v>
      </c>
      <c r="B89" s="1259"/>
      <c r="C89" s="760">
        <f>ROUND(SUM(C28:C88),3)</f>
        <v>4008.4859999999999</v>
      </c>
      <c r="D89" s="754"/>
      <c r="E89" s="760">
        <f>ROUND(SUM(E28:E88),3)</f>
        <v>1879.2090000000001</v>
      </c>
      <c r="F89" s="754"/>
      <c r="G89" s="760">
        <f>ROUND(SUM(G28:G88),3)</f>
        <v>1241.0920000000001</v>
      </c>
      <c r="H89" s="754"/>
      <c r="I89" s="760">
        <f>ROUND(SUM(I28:I88),3)</f>
        <v>456.38099999999997</v>
      </c>
      <c r="J89" s="754"/>
      <c r="K89" s="760">
        <f>ROUND(SUM(K28:K88),3)</f>
        <v>5102.9840000000004</v>
      </c>
      <c r="L89" s="3495"/>
      <c r="M89" s="3496"/>
      <c r="N89" s="3487"/>
      <c r="O89" s="1266"/>
    </row>
    <row r="90" spans="1:15" ht="11.25" customHeight="1">
      <c r="A90" s="1255"/>
      <c r="B90" s="1259"/>
      <c r="C90" s="1263"/>
      <c r="D90" s="1259"/>
      <c r="E90" s="1263"/>
      <c r="F90" s="1259"/>
      <c r="G90" s="1263"/>
      <c r="H90" s="1259"/>
      <c r="I90" s="1263"/>
      <c r="J90" s="1259"/>
      <c r="K90" s="1263"/>
      <c r="L90" s="1263"/>
      <c r="M90" s="3487"/>
      <c r="N90" s="3487"/>
    </row>
    <row r="91" spans="1:15" s="1270" customFormat="1">
      <c r="A91" s="750" t="s">
        <v>304</v>
      </c>
      <c r="B91" s="1259"/>
      <c r="C91" s="1259"/>
      <c r="D91" s="1259"/>
      <c r="E91" s="1259"/>
      <c r="F91" s="1259"/>
      <c r="G91" s="1259"/>
      <c r="H91" s="1259"/>
      <c r="I91" s="1259"/>
      <c r="J91" s="1259"/>
      <c r="K91" s="1259"/>
      <c r="L91" s="1263"/>
      <c r="M91" s="3491"/>
      <c r="N91" s="3491"/>
    </row>
    <row r="92" spans="1:15" s="1270" customFormat="1">
      <c r="A92" s="1259" t="s">
        <v>1052</v>
      </c>
      <c r="B92" s="1259"/>
      <c r="C92" s="2797">
        <v>25.452000000000002</v>
      </c>
      <c r="D92" s="2792"/>
      <c r="E92" s="2797">
        <v>162.12</v>
      </c>
      <c r="F92" s="2792"/>
      <c r="G92" s="2797">
        <v>161.56200000000001</v>
      </c>
      <c r="H92" s="2792"/>
      <c r="I92" s="2797">
        <v>-1.2E-2</v>
      </c>
      <c r="J92" s="2835"/>
      <c r="K92" s="1041">
        <f t="shared" ref="K92:K98" si="6">ROUND(SUM(C92)+SUM(E92)-SUM(G92)+SUM(I92),3)</f>
        <v>25.998000000000001</v>
      </c>
      <c r="L92" s="1264"/>
      <c r="M92" s="3491"/>
      <c r="N92" s="3491"/>
      <c r="O92" s="1260"/>
    </row>
    <row r="93" spans="1:15" s="1270" customFormat="1">
      <c r="A93" s="1259" t="s">
        <v>305</v>
      </c>
      <c r="B93" s="1259"/>
      <c r="C93" s="2797">
        <v>370.54500000000002</v>
      </c>
      <c r="D93" s="2792"/>
      <c r="E93" s="2797">
        <v>3039.402</v>
      </c>
      <c r="F93" s="2792"/>
      <c r="G93" s="2797">
        <v>3322.9540000000002</v>
      </c>
      <c r="H93" s="2792"/>
      <c r="I93" s="2797">
        <v>-66.69</v>
      </c>
      <c r="J93" s="2835"/>
      <c r="K93" s="1041">
        <f>ROUND(SUM(C93)+SUM(E93)-SUM(G93)+SUM(I93),3)</f>
        <v>20.303000000000001</v>
      </c>
      <c r="L93" s="1264"/>
      <c r="M93" s="3491"/>
      <c r="N93" s="3491"/>
    </row>
    <row r="94" spans="1:15" s="1270" customFormat="1">
      <c r="A94" s="1259" t="s">
        <v>306</v>
      </c>
      <c r="B94" s="752"/>
      <c r="C94" s="2797">
        <v>-1.0940000000000001</v>
      </c>
      <c r="D94" s="2792"/>
      <c r="E94" s="2797">
        <v>288.53500000000003</v>
      </c>
      <c r="F94" s="2792"/>
      <c r="G94" s="2797">
        <v>304.19799999999998</v>
      </c>
      <c r="H94" s="2792"/>
      <c r="I94" s="2797">
        <v>0</v>
      </c>
      <c r="J94" s="2835"/>
      <c r="K94" s="1041">
        <f t="shared" si="6"/>
        <v>-16.757000000000001</v>
      </c>
      <c r="L94" s="1264"/>
      <c r="M94" s="3491"/>
      <c r="N94" s="3491"/>
    </row>
    <row r="95" spans="1:15" s="1270" customFormat="1">
      <c r="A95" s="1259" t="s">
        <v>307</v>
      </c>
      <c r="B95" s="1259"/>
      <c r="C95" s="2797">
        <v>-227.68299999999999</v>
      </c>
      <c r="D95" s="2792"/>
      <c r="E95" s="2797">
        <v>53.033000000000001</v>
      </c>
      <c r="F95" s="2792"/>
      <c r="G95" s="2797">
        <v>90.942999999999998</v>
      </c>
      <c r="H95" s="2792"/>
      <c r="I95" s="2797">
        <v>0</v>
      </c>
      <c r="J95" s="2835"/>
      <c r="K95" s="1041">
        <f t="shared" si="6"/>
        <v>-265.59300000000002</v>
      </c>
      <c r="L95" s="1264"/>
      <c r="N95" s="1151"/>
    </row>
    <row r="96" spans="1:15" s="1270" customFormat="1">
      <c r="A96" s="1259" t="s">
        <v>308</v>
      </c>
      <c r="B96" s="1259"/>
      <c r="C96" s="2797">
        <v>128.16</v>
      </c>
      <c r="D96" s="2792"/>
      <c r="E96" s="2797">
        <v>18.445</v>
      </c>
      <c r="F96" s="2792"/>
      <c r="G96" s="2797">
        <v>39.771999999999998</v>
      </c>
      <c r="H96" s="2792"/>
      <c r="I96" s="2797">
        <v>0</v>
      </c>
      <c r="J96" s="2835"/>
      <c r="K96" s="1041">
        <f t="shared" si="6"/>
        <v>106.833</v>
      </c>
      <c r="L96" s="1264"/>
      <c r="M96" s="3491"/>
      <c r="N96" s="3491"/>
    </row>
    <row r="97" spans="1:15" s="1270" customFormat="1">
      <c r="A97" s="1259" t="s">
        <v>309</v>
      </c>
      <c r="B97" s="1259"/>
      <c r="C97" s="2797">
        <v>-0.51100000000000001</v>
      </c>
      <c r="D97" s="2792"/>
      <c r="E97" s="2797">
        <v>0.56999999999999995</v>
      </c>
      <c r="F97" s="2792"/>
      <c r="G97" s="2797">
        <v>0.51900000000000002</v>
      </c>
      <c r="H97" s="2792"/>
      <c r="I97" s="2797">
        <v>0</v>
      </c>
      <c r="J97" s="2835"/>
      <c r="K97" s="1041">
        <f t="shared" si="6"/>
        <v>-0.46</v>
      </c>
      <c r="L97" s="1264"/>
      <c r="M97" s="3491"/>
      <c r="N97" s="3491"/>
    </row>
    <row r="98" spans="1:15" s="1270" customFormat="1">
      <c r="A98" s="1262" t="s">
        <v>310</v>
      </c>
      <c r="B98" s="1259"/>
      <c r="C98" s="2797">
        <v>-1.27</v>
      </c>
      <c r="D98" s="2792"/>
      <c r="E98" s="2797">
        <v>11.868</v>
      </c>
      <c r="F98" s="2792"/>
      <c r="G98" s="2797">
        <v>13.411</v>
      </c>
      <c r="H98" s="2792"/>
      <c r="I98" s="2797">
        <v>0</v>
      </c>
      <c r="J98" s="2835"/>
      <c r="K98" s="1041">
        <f t="shared" si="6"/>
        <v>-2.8130000000000002</v>
      </c>
      <c r="L98" s="1264"/>
      <c r="M98" s="3491"/>
      <c r="N98" s="3491"/>
    </row>
    <row r="99" spans="1:15" s="1270" customFormat="1">
      <c r="A99" s="749" t="s">
        <v>311</v>
      </c>
      <c r="B99" s="1259"/>
      <c r="C99" s="760">
        <f>ROUND(SUM(C92:C98),3)</f>
        <v>293.59899999999999</v>
      </c>
      <c r="D99" s="754"/>
      <c r="E99" s="760">
        <f>ROUND(SUM(E92:E98),3)</f>
        <v>3573.973</v>
      </c>
      <c r="F99" s="754"/>
      <c r="G99" s="760">
        <f>ROUND(SUM(G92:G98),3)</f>
        <v>3933.3589999999999</v>
      </c>
      <c r="H99" s="754"/>
      <c r="I99" s="760">
        <f>ROUND(SUM(I92:I98),3)</f>
        <v>-66.701999999999998</v>
      </c>
      <c r="J99" s="754"/>
      <c r="K99" s="760">
        <f>ROUND(SUM(K92:K98),3)</f>
        <v>-132.489</v>
      </c>
      <c r="L99" s="761"/>
      <c r="M99" s="3491"/>
      <c r="N99" s="3491"/>
    </row>
    <row r="100" spans="1:15" ht="12" customHeight="1">
      <c r="A100" s="737"/>
      <c r="B100" s="1255"/>
      <c r="C100" s="1263"/>
      <c r="D100" s="1259"/>
      <c r="E100" s="1263"/>
      <c r="F100" s="1259"/>
      <c r="G100" s="1263"/>
      <c r="H100" s="1259"/>
      <c r="I100" s="1263"/>
      <c r="J100" s="1255"/>
      <c r="K100" s="1256"/>
      <c r="L100" s="1256"/>
      <c r="M100" s="3487"/>
      <c r="N100" s="3487"/>
    </row>
    <row r="101" spans="1:15">
      <c r="A101" s="756" t="s">
        <v>312</v>
      </c>
      <c r="B101" s="1255"/>
      <c r="C101" s="3641">
        <f>C89+C99</f>
        <v>4302.085</v>
      </c>
      <c r="D101" s="754"/>
      <c r="E101" s="3641">
        <f>E89+E99</f>
        <v>5453.1819999999998</v>
      </c>
      <c r="F101" s="754"/>
      <c r="G101" s="3641">
        <f>G89+G99</f>
        <v>5174.451</v>
      </c>
      <c r="H101" s="754"/>
      <c r="I101" s="3641">
        <f>I89+I99</f>
        <v>389.67899999999997</v>
      </c>
      <c r="J101" s="737"/>
      <c r="K101" s="757">
        <f>K89+K99</f>
        <v>4970.4950000000008</v>
      </c>
      <c r="L101" s="742"/>
      <c r="M101" s="3496"/>
      <c r="N101" s="3496"/>
      <c r="O101" s="1260"/>
    </row>
    <row r="102" spans="1:15" ht="10.5" customHeight="1">
      <c r="A102" s="1267"/>
      <c r="B102" s="1255"/>
      <c r="C102" s="1263"/>
      <c r="D102" s="1259"/>
      <c r="E102" s="1263"/>
      <c r="F102" s="1259"/>
      <c r="G102" s="1263"/>
      <c r="H102" s="1259"/>
      <c r="I102" s="1263"/>
      <c r="J102" s="1259"/>
      <c r="K102" s="1263"/>
      <c r="L102" s="1263"/>
      <c r="M102" s="3487"/>
      <c r="N102" s="3487"/>
    </row>
    <row r="103" spans="1:15" ht="17.25">
      <c r="A103" s="746" t="s">
        <v>187</v>
      </c>
      <c r="B103" s="1255"/>
      <c r="C103" s="1259"/>
      <c r="D103" s="1259"/>
      <c r="E103" s="1190"/>
      <c r="F103" s="1190"/>
      <c r="G103" s="1190"/>
      <c r="H103" s="1190"/>
      <c r="I103" s="1190"/>
      <c r="J103" s="751"/>
      <c r="K103" s="1191"/>
      <c r="L103" s="1256"/>
      <c r="M103" s="3487"/>
      <c r="N103" s="3487"/>
    </row>
    <row r="104" spans="1:15">
      <c r="A104" s="1255" t="s">
        <v>313</v>
      </c>
      <c r="B104" s="1255"/>
      <c r="C104" s="2797">
        <v>0</v>
      </c>
      <c r="D104" s="2792"/>
      <c r="E104" s="2797">
        <v>0</v>
      </c>
      <c r="F104" s="2792"/>
      <c r="G104" s="2797">
        <v>0</v>
      </c>
      <c r="H104" s="2792"/>
      <c r="I104" s="2797">
        <v>0</v>
      </c>
      <c r="J104" s="1257"/>
      <c r="K104" s="1041">
        <f t="shared" ref="K104:K110" si="7">ROUND(SUM(C104)+SUM(E104)-SUM(G104)+SUM(I104),3)</f>
        <v>0</v>
      </c>
      <c r="L104" s="3486"/>
    </row>
    <row r="105" spans="1:15">
      <c r="A105" s="1259" t="s">
        <v>314</v>
      </c>
      <c r="B105" s="1259"/>
      <c r="C105" s="2797">
        <v>117.944</v>
      </c>
      <c r="D105" s="2792"/>
      <c r="E105" s="2797">
        <v>30.098000000000003</v>
      </c>
      <c r="F105" s="2792"/>
      <c r="G105" s="2797">
        <v>0.182</v>
      </c>
      <c r="H105" s="2792"/>
      <c r="I105" s="2797">
        <v>-73.188000000000002</v>
      </c>
      <c r="J105" s="1257"/>
      <c r="K105" s="1041">
        <f t="shared" si="7"/>
        <v>74.671999999999997</v>
      </c>
      <c r="L105" s="1264"/>
      <c r="M105" s="3487"/>
      <c r="N105" s="3487"/>
    </row>
    <row r="106" spans="1:15">
      <c r="A106" s="1255" t="s">
        <v>315</v>
      </c>
      <c r="B106" s="1255"/>
      <c r="C106" s="2797">
        <v>0</v>
      </c>
      <c r="D106" s="2792"/>
      <c r="E106" s="2797">
        <v>3179.5129999999999</v>
      </c>
      <c r="F106" s="2792"/>
      <c r="G106" s="2797">
        <v>63.42</v>
      </c>
      <c r="H106" s="2792"/>
      <c r="I106" s="2797">
        <v>-2884.7640000000001</v>
      </c>
      <c r="J106" s="1257"/>
      <c r="K106" s="1041">
        <f t="shared" si="7"/>
        <v>231.32900000000001</v>
      </c>
      <c r="L106" s="1264"/>
      <c r="M106" s="3487"/>
      <c r="N106" s="3487"/>
    </row>
    <row r="107" spans="1:15">
      <c r="A107" s="1255" t="s">
        <v>316</v>
      </c>
      <c r="B107" s="1255"/>
      <c r="C107" s="2797">
        <v>0</v>
      </c>
      <c r="D107" s="2792"/>
      <c r="E107" s="2797">
        <v>0</v>
      </c>
      <c r="F107" s="2792"/>
      <c r="G107" s="2797">
        <v>0.95899999999999996</v>
      </c>
      <c r="H107" s="2792"/>
      <c r="I107" s="2797">
        <v>0.95899999999999996</v>
      </c>
      <c r="J107" s="1257"/>
      <c r="K107" s="1041">
        <f t="shared" si="7"/>
        <v>0</v>
      </c>
      <c r="L107" s="3486"/>
      <c r="M107" s="3487"/>
      <c r="N107" s="3487"/>
    </row>
    <row r="108" spans="1:15">
      <c r="A108" s="1255" t="s">
        <v>317</v>
      </c>
      <c r="B108" s="1255"/>
      <c r="C108" s="2797">
        <v>35.164999999999999</v>
      </c>
      <c r="D108" s="2792"/>
      <c r="E108" s="2797">
        <v>13.782</v>
      </c>
      <c r="F108" s="2792"/>
      <c r="G108" s="2797">
        <v>0</v>
      </c>
      <c r="H108" s="2792"/>
      <c r="I108" s="2797">
        <v>-10.497</v>
      </c>
      <c r="J108" s="1257"/>
      <c r="K108" s="1041">
        <f t="shared" si="7"/>
        <v>38.450000000000003</v>
      </c>
      <c r="L108" s="1264"/>
      <c r="M108" s="3487"/>
      <c r="N108" s="3487"/>
    </row>
    <row r="109" spans="1:15">
      <c r="A109" s="1255" t="s">
        <v>318</v>
      </c>
      <c r="B109" s="1255"/>
      <c r="C109" s="2797">
        <v>0</v>
      </c>
      <c r="D109" s="2792"/>
      <c r="E109" s="2797">
        <v>87.016999999999996</v>
      </c>
      <c r="F109" s="2792"/>
      <c r="G109" s="2797">
        <v>0</v>
      </c>
      <c r="H109" s="2792"/>
      <c r="I109" s="2797">
        <v>-86.617000000000004</v>
      </c>
      <c r="J109" s="1257"/>
      <c r="K109" s="1041">
        <f t="shared" si="7"/>
        <v>0.4</v>
      </c>
      <c r="L109" s="1264"/>
      <c r="M109" s="3487"/>
      <c r="N109" s="3487"/>
    </row>
    <row r="110" spans="1:15">
      <c r="A110" s="1261" t="s">
        <v>319</v>
      </c>
      <c r="B110" s="1259"/>
      <c r="C110" s="2797">
        <v>0</v>
      </c>
      <c r="D110" s="2792"/>
      <c r="E110" s="2797">
        <v>251.39599999999999</v>
      </c>
      <c r="F110" s="2792"/>
      <c r="G110" s="2797">
        <v>0.35299999999999998</v>
      </c>
      <c r="H110" s="2792"/>
      <c r="I110" s="2797">
        <v>-249.173</v>
      </c>
      <c r="J110" s="1257"/>
      <c r="K110" s="1041">
        <f t="shared" si="7"/>
        <v>1.87</v>
      </c>
      <c r="L110" s="1264"/>
      <c r="M110" s="3487"/>
      <c r="N110" s="3487"/>
    </row>
    <row r="111" spans="1:15">
      <c r="A111" s="758" t="s">
        <v>320</v>
      </c>
      <c r="B111" s="1268"/>
      <c r="C111" s="760">
        <f>ROUND(SUM(C104:C110),3)</f>
        <v>153.10900000000001</v>
      </c>
      <c r="D111" s="762"/>
      <c r="E111" s="760">
        <f>ROUND(SUM(E104:E110),3)</f>
        <v>3561.806</v>
      </c>
      <c r="F111" s="762"/>
      <c r="G111" s="760">
        <f>ROUND(SUM(G104:G110),3)</f>
        <v>64.914000000000001</v>
      </c>
      <c r="H111" s="762"/>
      <c r="I111" s="760">
        <f>ROUND(SUM(I104:I110),3)</f>
        <v>-3303.28</v>
      </c>
      <c r="J111" s="1192"/>
      <c r="K111" s="1193">
        <f>ROUND(SUM(K104:K110),3)</f>
        <v>346.721</v>
      </c>
      <c r="L111" s="761"/>
      <c r="M111" s="3496"/>
      <c r="N111" s="3487"/>
    </row>
    <row r="112" spans="1:15">
      <c r="A112" s="1255"/>
      <c r="B112" s="1255"/>
      <c r="C112" s="1263"/>
      <c r="D112" s="1259"/>
      <c r="E112" s="1263"/>
      <c r="F112" s="1259"/>
      <c r="G112" s="1263"/>
      <c r="H112" s="1259"/>
      <c r="I112" s="1263"/>
      <c r="J112" s="1255"/>
      <c r="K112" s="1256" t="s">
        <v>15</v>
      </c>
      <c r="L112" s="1263"/>
      <c r="M112" s="3487"/>
      <c r="N112" s="3487"/>
    </row>
    <row r="113" spans="1:14">
      <c r="A113" s="737"/>
      <c r="B113" s="738"/>
      <c r="C113" s="1336"/>
      <c r="D113" s="1336"/>
      <c r="E113" s="1336"/>
      <c r="F113" s="1336"/>
      <c r="G113" s="1336"/>
      <c r="H113" s="1336"/>
      <c r="I113" s="1336"/>
      <c r="J113" s="738"/>
      <c r="K113" s="738"/>
      <c r="L113" s="3481"/>
    </row>
    <row r="114" spans="1:14">
      <c r="A114" s="759" t="s">
        <v>1019</v>
      </c>
      <c r="B114" s="1255"/>
      <c r="J114" s="1270"/>
      <c r="K114" s="1269"/>
      <c r="L114" s="3488"/>
      <c r="M114" s="3487"/>
      <c r="N114" s="3487"/>
    </row>
    <row r="115" spans="1:14" s="1270" customFormat="1">
      <c r="A115" s="1259" t="s">
        <v>321</v>
      </c>
      <c r="B115" s="2835"/>
      <c r="C115" s="2797">
        <v>0</v>
      </c>
      <c r="D115" s="2792"/>
      <c r="E115" s="2797">
        <v>316.05500000000001</v>
      </c>
      <c r="F115" s="2792"/>
      <c r="G115" s="2797">
        <v>270.59100000000001</v>
      </c>
      <c r="H115" s="2792"/>
      <c r="I115" s="2797">
        <v>-45.463999999999999</v>
      </c>
      <c r="J115" s="2835"/>
      <c r="K115" s="1041">
        <f>ROUND(SUM(C115)+SUM(E115)-SUM(G115)+SUM(I115),3)</f>
        <v>0</v>
      </c>
      <c r="L115" s="3497"/>
      <c r="M115" s="3491"/>
    </row>
    <row r="116" spans="1:14" s="1270" customFormat="1">
      <c r="A116" s="1259" t="s">
        <v>322</v>
      </c>
      <c r="B116" s="1262"/>
      <c r="C116" s="2797">
        <v>-40.624000000000002</v>
      </c>
      <c r="D116" s="2792"/>
      <c r="E116" s="2797">
        <v>198.71899999999999</v>
      </c>
      <c r="F116" s="2792"/>
      <c r="G116" s="2797">
        <v>129.386</v>
      </c>
      <c r="H116" s="2792"/>
      <c r="I116" s="2797">
        <v>-24.632999999999999</v>
      </c>
      <c r="J116" s="2835"/>
      <c r="K116" s="1041">
        <f>ROUND(SUM(C116)+SUM(E116)-SUM(G116)+SUM(I116),3)</f>
        <v>4.0759999999999996</v>
      </c>
      <c r="L116" s="1264"/>
      <c r="M116" s="3491"/>
      <c r="N116" s="3491"/>
    </row>
    <row r="117" spans="1:14" s="1270" customFormat="1">
      <c r="A117" s="1259" t="s">
        <v>323</v>
      </c>
      <c r="B117" s="1259"/>
      <c r="C117" s="2797">
        <v>142.53299999999999</v>
      </c>
      <c r="D117" s="2792"/>
      <c r="E117" s="2797">
        <v>0.193</v>
      </c>
      <c r="F117" s="2792"/>
      <c r="G117" s="2797">
        <v>1.0489999999999999</v>
      </c>
      <c r="H117" s="2792"/>
      <c r="I117" s="2797">
        <v>0</v>
      </c>
      <c r="J117" s="2835"/>
      <c r="K117" s="1041">
        <f t="shared" ref="K117:K130" si="8">ROUND(SUM(C117)+SUM(E117)-SUM(G117)+SUM(I117),3)</f>
        <v>141.67699999999999</v>
      </c>
      <c r="L117" s="1264"/>
      <c r="M117" s="3491"/>
      <c r="N117" s="3491"/>
    </row>
    <row r="118" spans="1:14" s="1270" customFormat="1">
      <c r="A118" s="1259" t="s">
        <v>324</v>
      </c>
      <c r="B118" s="1259"/>
      <c r="C118" s="2797">
        <v>8.5540000000000003</v>
      </c>
      <c r="D118" s="2792"/>
      <c r="E118" s="2797">
        <v>1.0999999999999999E-2</v>
      </c>
      <c r="F118" s="2792"/>
      <c r="G118" s="2797">
        <v>0</v>
      </c>
      <c r="H118" s="2792"/>
      <c r="I118" s="2797">
        <v>0</v>
      </c>
      <c r="J118" s="2835"/>
      <c r="K118" s="1041">
        <f t="shared" si="8"/>
        <v>8.5649999999999995</v>
      </c>
      <c r="L118" s="1264"/>
      <c r="M118" s="3491"/>
      <c r="N118" s="3491"/>
    </row>
    <row r="119" spans="1:14" s="1270" customFormat="1">
      <c r="A119" s="1259" t="s">
        <v>325</v>
      </c>
      <c r="B119" s="1259"/>
      <c r="C119" s="2797">
        <v>-9.4540000000000006</v>
      </c>
      <c r="D119" s="2792"/>
      <c r="E119" s="2797">
        <v>0</v>
      </c>
      <c r="F119" s="2792"/>
      <c r="G119" s="2797">
        <v>4.7880000000000003</v>
      </c>
      <c r="H119" s="2792"/>
      <c r="I119" s="2797">
        <v>0</v>
      </c>
      <c r="J119" s="2835"/>
      <c r="K119" s="1041">
        <f t="shared" si="8"/>
        <v>-14.242000000000001</v>
      </c>
      <c r="L119" s="1264"/>
      <c r="M119" s="3491"/>
      <c r="N119" s="3491"/>
    </row>
    <row r="120" spans="1:14" s="1270" customFormat="1">
      <c r="A120" s="1259" t="s">
        <v>326</v>
      </c>
      <c r="B120" s="1259"/>
      <c r="C120" s="2797">
        <v>1.4999999999999999E-2</v>
      </c>
      <c r="D120" s="2792"/>
      <c r="E120" s="2797">
        <v>0</v>
      </c>
      <c r="F120" s="2792"/>
      <c r="G120" s="2797">
        <v>0</v>
      </c>
      <c r="H120" s="2792"/>
      <c r="I120" s="2797">
        <v>0</v>
      </c>
      <c r="J120" s="2835"/>
      <c r="K120" s="1041">
        <f t="shared" si="8"/>
        <v>1.4999999999999999E-2</v>
      </c>
      <c r="L120" s="1264"/>
      <c r="M120" s="3491"/>
      <c r="N120" s="3491"/>
    </row>
    <row r="121" spans="1:14" s="1270" customFormat="1">
      <c r="A121" s="1259" t="s">
        <v>327</v>
      </c>
      <c r="B121" s="1259"/>
      <c r="C121" s="2797">
        <v>150.959</v>
      </c>
      <c r="D121" s="2792"/>
      <c r="E121" s="2797">
        <v>1.25</v>
      </c>
      <c r="F121" s="2792"/>
      <c r="G121" s="2797">
        <v>7.0220000000000002</v>
      </c>
      <c r="H121" s="2792"/>
      <c r="I121" s="2797">
        <v>1E-3</v>
      </c>
      <c r="J121" s="2835"/>
      <c r="K121" s="1041">
        <f t="shared" si="8"/>
        <v>145.18799999999999</v>
      </c>
      <c r="L121" s="1264"/>
      <c r="M121" s="3491"/>
      <c r="N121" s="3491"/>
    </row>
    <row r="122" spans="1:14" s="1270" customFormat="1">
      <c r="A122" s="1259" t="s">
        <v>328</v>
      </c>
      <c r="B122" s="1259"/>
      <c r="C122" s="2797">
        <v>0</v>
      </c>
      <c r="D122" s="2792"/>
      <c r="E122" s="2797">
        <v>0</v>
      </c>
      <c r="F122" s="2792"/>
      <c r="G122" s="2797">
        <v>0</v>
      </c>
      <c r="H122" s="2792"/>
      <c r="I122" s="2797">
        <v>0</v>
      </c>
      <c r="J122" s="2835"/>
      <c r="K122" s="1041">
        <f t="shared" si="8"/>
        <v>0</v>
      </c>
      <c r="L122" s="1264"/>
      <c r="M122" s="3491"/>
      <c r="N122" s="3491"/>
    </row>
    <row r="123" spans="1:14" s="1270" customFormat="1">
      <c r="A123" s="1259" t="s">
        <v>329</v>
      </c>
      <c r="B123" s="1259"/>
      <c r="C123" s="2797">
        <v>0.16400000000000001</v>
      </c>
      <c r="D123" s="2792"/>
      <c r="E123" s="2797">
        <v>0</v>
      </c>
      <c r="F123" s="2792"/>
      <c r="G123" s="2797">
        <v>0</v>
      </c>
      <c r="H123" s="2792"/>
      <c r="I123" s="2797">
        <v>0</v>
      </c>
      <c r="J123" s="2835"/>
      <c r="K123" s="1041">
        <f t="shared" si="8"/>
        <v>0.16400000000000001</v>
      </c>
      <c r="L123" s="1264"/>
      <c r="M123" s="3491"/>
      <c r="N123" s="3491"/>
    </row>
    <row r="124" spans="1:14" s="1270" customFormat="1">
      <c r="A124" s="1259" t="s">
        <v>1050</v>
      </c>
      <c r="B124" s="1259"/>
      <c r="C124" s="2797">
        <v>0</v>
      </c>
      <c r="D124" s="2792"/>
      <c r="E124" s="2797">
        <v>0</v>
      </c>
      <c r="F124" s="2792"/>
      <c r="G124" s="2797">
        <v>0</v>
      </c>
      <c r="H124" s="2792"/>
      <c r="I124" s="2797">
        <v>0</v>
      </c>
      <c r="J124" s="2835"/>
      <c r="K124" s="1041">
        <f t="shared" si="8"/>
        <v>0</v>
      </c>
      <c r="L124" s="1264"/>
      <c r="M124" s="3491"/>
      <c r="N124" s="3491"/>
    </row>
    <row r="125" spans="1:14" s="1270" customFormat="1">
      <c r="A125" s="1259" t="s">
        <v>330</v>
      </c>
      <c r="B125" s="1259"/>
      <c r="C125" s="2797">
        <v>0.66800000000000004</v>
      </c>
      <c r="D125" s="2792"/>
      <c r="E125" s="2797">
        <v>0</v>
      </c>
      <c r="F125" s="2792"/>
      <c r="G125" s="2797">
        <v>0</v>
      </c>
      <c r="H125" s="2792"/>
      <c r="I125" s="2797">
        <v>0</v>
      </c>
      <c r="J125" s="2835"/>
      <c r="K125" s="1041">
        <f t="shared" si="8"/>
        <v>0.66800000000000004</v>
      </c>
      <c r="L125" s="1264"/>
      <c r="M125" s="3491"/>
      <c r="N125" s="3491"/>
    </row>
    <row r="126" spans="1:14" s="1270" customFormat="1">
      <c r="A126" s="1259" t="s">
        <v>331</v>
      </c>
      <c r="B126" s="1259"/>
      <c r="C126" s="2797">
        <v>3.3279999999999998</v>
      </c>
      <c r="D126" s="2792"/>
      <c r="E126" s="2797">
        <v>0</v>
      </c>
      <c r="F126" s="2792"/>
      <c r="G126" s="2797">
        <v>0</v>
      </c>
      <c r="H126" s="2792"/>
      <c r="I126" s="2797">
        <v>0</v>
      </c>
      <c r="J126" s="2835"/>
      <c r="K126" s="1041">
        <f t="shared" si="8"/>
        <v>3.3279999999999998</v>
      </c>
      <c r="L126" s="1264"/>
      <c r="M126" s="3491"/>
      <c r="N126" s="3491"/>
    </row>
    <row r="127" spans="1:14" s="1270" customFormat="1">
      <c r="A127" s="1259" t="s">
        <v>332</v>
      </c>
      <c r="B127" s="1259"/>
      <c r="C127" s="2797">
        <v>1.42</v>
      </c>
      <c r="D127" s="2792"/>
      <c r="E127" s="2797">
        <v>0</v>
      </c>
      <c r="F127" s="2792"/>
      <c r="G127" s="2797">
        <v>0</v>
      </c>
      <c r="H127" s="2792"/>
      <c r="I127" s="2797">
        <v>0</v>
      </c>
      <c r="J127" s="2835"/>
      <c r="K127" s="1041">
        <f t="shared" si="8"/>
        <v>1.42</v>
      </c>
      <c r="L127" s="1264"/>
      <c r="M127" s="3491"/>
      <c r="N127" s="3491"/>
    </row>
    <row r="128" spans="1:14" s="1270" customFormat="1">
      <c r="A128" s="1259" t="s">
        <v>333</v>
      </c>
      <c r="B128" s="1259"/>
      <c r="C128" s="2797">
        <v>18.98</v>
      </c>
      <c r="D128" s="2792"/>
      <c r="E128" s="2797">
        <v>0</v>
      </c>
      <c r="F128" s="2792"/>
      <c r="G128" s="2797">
        <v>0</v>
      </c>
      <c r="H128" s="2792"/>
      <c r="I128" s="2797">
        <v>0</v>
      </c>
      <c r="J128" s="2835"/>
      <c r="K128" s="1041">
        <f t="shared" si="8"/>
        <v>18.98</v>
      </c>
      <c r="L128" s="1264"/>
      <c r="M128" s="3491"/>
      <c r="N128" s="3491"/>
    </row>
    <row r="129" spans="1:14" s="1270" customFormat="1">
      <c r="A129" s="1259" t="s">
        <v>334</v>
      </c>
      <c r="B129" s="1259"/>
      <c r="C129" s="2797">
        <v>4.2549999999999999</v>
      </c>
      <c r="D129" s="2792"/>
      <c r="E129" s="2797">
        <v>0</v>
      </c>
      <c r="F129" s="2792"/>
      <c r="G129" s="2797">
        <v>0</v>
      </c>
      <c r="H129" s="2792"/>
      <c r="I129" s="2797">
        <v>0</v>
      </c>
      <c r="J129" s="2835"/>
      <c r="K129" s="1041">
        <f t="shared" si="8"/>
        <v>4.2549999999999999</v>
      </c>
      <c r="L129" s="1264"/>
      <c r="M129" s="3491"/>
    </row>
    <row r="130" spans="1:14" s="1270" customFormat="1">
      <c r="A130" s="1259" t="s">
        <v>335</v>
      </c>
      <c r="B130" s="1259"/>
      <c r="C130" s="2797">
        <v>6.2169999999999996</v>
      </c>
      <c r="D130" s="2792"/>
      <c r="E130" s="2797">
        <v>0</v>
      </c>
      <c r="F130" s="2792"/>
      <c r="G130" s="2797">
        <v>0</v>
      </c>
      <c r="H130" s="2792"/>
      <c r="I130" s="2797">
        <v>-0.186</v>
      </c>
      <c r="J130" s="2835"/>
      <c r="K130" s="1041">
        <f t="shared" si="8"/>
        <v>6.0309999999999997</v>
      </c>
      <c r="L130" s="1264"/>
      <c r="M130" s="3491"/>
      <c r="N130" s="3491"/>
    </row>
    <row r="131" spans="1:14" s="1270" customFormat="1">
      <c r="A131" s="1259" t="s">
        <v>336</v>
      </c>
      <c r="B131" s="1259"/>
      <c r="C131" s="2840"/>
      <c r="D131" s="2833"/>
      <c r="E131" s="2836"/>
      <c r="F131" s="2792"/>
      <c r="G131" s="2836"/>
      <c r="H131" s="2792"/>
      <c r="I131" s="2836"/>
      <c r="J131" s="1259"/>
      <c r="K131" s="2839"/>
      <c r="L131" s="1264"/>
      <c r="M131" s="3491"/>
      <c r="N131" s="3491"/>
    </row>
    <row r="132" spans="1:14" s="1270" customFormat="1">
      <c r="A132" s="1259" t="s">
        <v>337</v>
      </c>
      <c r="B132" s="1259"/>
      <c r="C132" s="2797">
        <v>2.778</v>
      </c>
      <c r="D132" s="2792"/>
      <c r="E132" s="2797">
        <v>0</v>
      </c>
      <c r="F132" s="2792"/>
      <c r="G132" s="2797">
        <v>0</v>
      </c>
      <c r="H132" s="2792"/>
      <c r="I132" s="2797">
        <v>0</v>
      </c>
      <c r="J132" s="2835"/>
      <c r="K132" s="1041">
        <f>ROUND(SUM(C132)+SUM(E132)-SUM(G132)+SUM(I132),3)</f>
        <v>2.778</v>
      </c>
      <c r="L132" s="1264"/>
      <c r="M132" s="3491"/>
      <c r="N132" s="3491"/>
    </row>
    <row r="133" spans="1:14" s="1270" customFormat="1">
      <c r="A133" s="1259" t="s">
        <v>338</v>
      </c>
      <c r="B133" s="1259"/>
      <c r="C133" s="2797">
        <v>1.4279999999999999</v>
      </c>
      <c r="D133" s="2792"/>
      <c r="E133" s="2797">
        <v>0</v>
      </c>
      <c r="F133" s="2792"/>
      <c r="G133" s="2797">
        <v>0</v>
      </c>
      <c r="H133" s="2792"/>
      <c r="I133" s="2797">
        <v>0</v>
      </c>
      <c r="J133" s="2835"/>
      <c r="K133" s="1041">
        <f t="shared" ref="K133:K153" si="9">ROUND(SUM(C133)+SUM(E133)-SUM(G133)+SUM(I133),3)</f>
        <v>1.4279999999999999</v>
      </c>
      <c r="L133" s="1264"/>
      <c r="M133" s="3491"/>
      <c r="N133" s="3491"/>
    </row>
    <row r="134" spans="1:14" s="1270" customFormat="1">
      <c r="A134" s="1259" t="s">
        <v>1325</v>
      </c>
      <c r="B134" s="1259"/>
      <c r="C134" s="2797">
        <v>0</v>
      </c>
      <c r="D134" s="2792"/>
      <c r="E134" s="2797">
        <v>0</v>
      </c>
      <c r="F134" s="2792"/>
      <c r="G134" s="2797">
        <v>0</v>
      </c>
      <c r="H134" s="2792"/>
      <c r="I134" s="2797">
        <v>0</v>
      </c>
      <c r="J134" s="2835"/>
      <c r="K134" s="1041">
        <f t="shared" si="9"/>
        <v>0</v>
      </c>
      <c r="L134" s="1264"/>
      <c r="M134" s="3491"/>
      <c r="N134" s="3491"/>
    </row>
    <row r="135" spans="1:14" s="1270" customFormat="1">
      <c r="A135" s="1259" t="s">
        <v>1424</v>
      </c>
      <c r="B135" s="1259"/>
      <c r="C135" s="2797">
        <v>0</v>
      </c>
      <c r="D135" s="2792"/>
      <c r="E135" s="2797">
        <v>0</v>
      </c>
      <c r="F135" s="2792"/>
      <c r="G135" s="2797">
        <v>0</v>
      </c>
      <c r="H135" s="2792"/>
      <c r="I135" s="2797">
        <v>0</v>
      </c>
      <c r="J135" s="2835"/>
      <c r="K135" s="1041">
        <f t="shared" si="9"/>
        <v>0</v>
      </c>
      <c r="L135" s="1264"/>
      <c r="M135" s="3491"/>
      <c r="N135" s="3491"/>
    </row>
    <row r="136" spans="1:14" s="1270" customFormat="1">
      <c r="A136" s="1259" t="s">
        <v>339</v>
      </c>
      <c r="B136" s="1259"/>
      <c r="C136" s="2797">
        <v>0</v>
      </c>
      <c r="D136" s="2792"/>
      <c r="E136" s="2797">
        <v>0</v>
      </c>
      <c r="F136" s="2792"/>
      <c r="G136" s="2797">
        <v>0</v>
      </c>
      <c r="H136" s="2792"/>
      <c r="I136" s="2797">
        <v>0</v>
      </c>
      <c r="J136" s="2835"/>
      <c r="K136" s="1041">
        <f t="shared" si="9"/>
        <v>0</v>
      </c>
      <c r="L136" s="1264"/>
      <c r="M136" s="3491"/>
      <c r="N136" s="3491"/>
    </row>
    <row r="137" spans="1:14" s="1270" customFormat="1">
      <c r="A137" s="1259" t="s">
        <v>340</v>
      </c>
      <c r="B137" s="1259"/>
      <c r="C137" s="2797">
        <v>0</v>
      </c>
      <c r="D137" s="2792"/>
      <c r="E137" s="2797">
        <v>0</v>
      </c>
      <c r="F137" s="2792"/>
      <c r="G137" s="2797">
        <v>0</v>
      </c>
      <c r="H137" s="2792"/>
      <c r="I137" s="2797">
        <v>0</v>
      </c>
      <c r="J137" s="2835"/>
      <c r="K137" s="1041">
        <f t="shared" si="9"/>
        <v>0</v>
      </c>
      <c r="L137" s="1264"/>
      <c r="M137" s="3491"/>
      <c r="N137" s="3491"/>
    </row>
    <row r="138" spans="1:14" s="1270" customFormat="1">
      <c r="A138" s="1259" t="s">
        <v>341</v>
      </c>
      <c r="B138" s="1259"/>
      <c r="C138" s="2797">
        <v>-582.76400000000001</v>
      </c>
      <c r="D138" s="2792"/>
      <c r="E138" s="2797">
        <v>58.771999999999998</v>
      </c>
      <c r="F138" s="2792"/>
      <c r="G138" s="2797">
        <v>107.73099999999999</v>
      </c>
      <c r="H138" s="2792"/>
      <c r="I138" s="2797">
        <v>0</v>
      </c>
      <c r="J138" s="2835"/>
      <c r="K138" s="1041">
        <f t="shared" si="9"/>
        <v>-631.72299999999996</v>
      </c>
      <c r="L138" s="1264"/>
      <c r="M138" s="3491"/>
      <c r="N138" s="3491"/>
    </row>
    <row r="139" spans="1:14" s="1270" customFormat="1">
      <c r="A139" s="1259" t="s">
        <v>342</v>
      </c>
      <c r="B139" s="1259"/>
      <c r="C139" s="2797">
        <v>0.91700000000000004</v>
      </c>
      <c r="D139" s="2792"/>
      <c r="E139" s="2797">
        <v>1E-3</v>
      </c>
      <c r="F139" s="2792"/>
      <c r="G139" s="2797">
        <v>0</v>
      </c>
      <c r="H139" s="2792"/>
      <c r="I139" s="2797">
        <v>0</v>
      </c>
      <c r="J139" s="2835"/>
      <c r="K139" s="1041">
        <f t="shared" si="9"/>
        <v>0.91800000000000004</v>
      </c>
      <c r="L139" s="1264"/>
      <c r="M139" s="3491"/>
    </row>
    <row r="140" spans="1:14" s="1270" customFormat="1">
      <c r="A140" s="1262" t="s">
        <v>343</v>
      </c>
      <c r="B140" s="1259"/>
      <c r="C140" s="2797">
        <v>-79.180000000000007</v>
      </c>
      <c r="D140" s="2792"/>
      <c r="E140" s="2797">
        <v>1.597</v>
      </c>
      <c r="F140" s="2792"/>
      <c r="G140" s="2797">
        <v>3.3610000000000002</v>
      </c>
      <c r="H140" s="2792"/>
      <c r="I140" s="2797">
        <v>-1.2030000000000001</v>
      </c>
      <c r="J140" s="2835"/>
      <c r="K140" s="1041">
        <f t="shared" si="9"/>
        <v>-82.147000000000006</v>
      </c>
      <c r="L140" s="1264"/>
      <c r="M140" s="3491"/>
      <c r="N140" s="3491"/>
    </row>
    <row r="141" spans="1:14" s="1270" customFormat="1">
      <c r="A141" s="1259" t="s">
        <v>344</v>
      </c>
      <c r="B141" s="1259"/>
      <c r="C141" s="2797">
        <v>0.51600000000000001</v>
      </c>
      <c r="D141" s="2792"/>
      <c r="E141" s="2797">
        <v>1E-3</v>
      </c>
      <c r="F141" s="2792"/>
      <c r="G141" s="2797">
        <v>0</v>
      </c>
      <c r="H141" s="2792"/>
      <c r="I141" s="2797">
        <v>0</v>
      </c>
      <c r="J141" s="2835"/>
      <c r="K141" s="1041">
        <f t="shared" si="9"/>
        <v>0.51700000000000002</v>
      </c>
      <c r="L141" s="1264"/>
      <c r="M141" s="3491"/>
    </row>
    <row r="142" spans="1:14" s="1270" customFormat="1">
      <c r="A142" s="1259" t="s">
        <v>345</v>
      </c>
      <c r="B142" s="1259"/>
      <c r="C142" s="2797">
        <v>-25.428999999999998</v>
      </c>
      <c r="D142" s="2792"/>
      <c r="E142" s="2797">
        <v>0</v>
      </c>
      <c r="F142" s="2792"/>
      <c r="G142" s="2797">
        <v>3.2589999999999999</v>
      </c>
      <c r="H142" s="2792"/>
      <c r="I142" s="2797">
        <v>0</v>
      </c>
      <c r="J142" s="2835"/>
      <c r="K142" s="1041">
        <f t="shared" si="9"/>
        <v>-28.687999999999999</v>
      </c>
      <c r="L142" s="1264"/>
      <c r="M142" s="3491"/>
      <c r="N142" s="3491"/>
    </row>
    <row r="143" spans="1:14" s="1270" customFormat="1">
      <c r="A143" s="1259" t="s">
        <v>346</v>
      </c>
      <c r="B143" s="1259"/>
      <c r="C143" s="2797">
        <v>-13.109</v>
      </c>
      <c r="D143" s="2792"/>
      <c r="E143" s="2797">
        <v>0</v>
      </c>
      <c r="F143" s="2792"/>
      <c r="G143" s="2797">
        <v>0</v>
      </c>
      <c r="H143" s="2792"/>
      <c r="I143" s="2797">
        <v>0</v>
      </c>
      <c r="J143" s="2835"/>
      <c r="K143" s="1041">
        <f t="shared" si="9"/>
        <v>-13.109</v>
      </c>
      <c r="L143" s="1264"/>
      <c r="M143" s="3491"/>
      <c r="N143" s="3491"/>
    </row>
    <row r="144" spans="1:14" s="1270" customFormat="1">
      <c r="A144" s="1259" t="s">
        <v>347</v>
      </c>
      <c r="B144" s="1259"/>
      <c r="C144" s="2797">
        <v>-176.00700000000001</v>
      </c>
      <c r="D144" s="2792"/>
      <c r="E144" s="2797">
        <v>0</v>
      </c>
      <c r="F144" s="2792"/>
      <c r="G144" s="2797">
        <v>110.637</v>
      </c>
      <c r="H144" s="2792"/>
      <c r="I144" s="2797">
        <v>0</v>
      </c>
      <c r="J144" s="2835"/>
      <c r="K144" s="1041">
        <f t="shared" si="9"/>
        <v>-286.64400000000001</v>
      </c>
      <c r="L144" s="1264"/>
      <c r="M144" s="3491"/>
      <c r="N144" s="3491"/>
    </row>
    <row r="145" spans="1:15" s="1270" customFormat="1">
      <c r="A145" s="1259" t="s">
        <v>348</v>
      </c>
      <c r="B145" s="1259"/>
      <c r="C145" s="2797">
        <v>17.582000000000001</v>
      </c>
      <c r="D145" s="2792"/>
      <c r="E145" s="2797">
        <v>2.4E-2</v>
      </c>
      <c r="F145" s="2792"/>
      <c r="G145" s="3558">
        <v>1.7999999999999999E-2</v>
      </c>
      <c r="H145" s="2792"/>
      <c r="I145" s="2797">
        <v>0</v>
      </c>
      <c r="J145" s="2835"/>
      <c r="K145" s="1041">
        <f t="shared" si="9"/>
        <v>17.588000000000001</v>
      </c>
      <c r="L145" s="1264"/>
      <c r="M145" s="3491"/>
      <c r="N145" s="3491"/>
    </row>
    <row r="146" spans="1:15" s="1270" customFormat="1">
      <c r="A146" s="1259" t="s">
        <v>1058</v>
      </c>
      <c r="B146" s="1259"/>
      <c r="C146" s="2797">
        <v>-12.441000000000001</v>
      </c>
      <c r="D146" s="2792"/>
      <c r="E146" s="2797">
        <v>0</v>
      </c>
      <c r="F146" s="2792"/>
      <c r="G146" s="2797">
        <v>0</v>
      </c>
      <c r="H146" s="2792"/>
      <c r="I146" s="2797">
        <v>0</v>
      </c>
      <c r="J146" s="2835"/>
      <c r="K146" s="1041">
        <f t="shared" si="9"/>
        <v>-12.441000000000001</v>
      </c>
      <c r="L146" s="1264"/>
      <c r="M146" s="3491"/>
      <c r="N146" s="3491"/>
    </row>
    <row r="147" spans="1:15" s="1270" customFormat="1">
      <c r="A147" s="1259" t="s">
        <v>349</v>
      </c>
      <c r="B147" s="1259"/>
      <c r="C147" s="2797">
        <v>60.982999999999997</v>
      </c>
      <c r="D147" s="2792"/>
      <c r="E147" s="2797">
        <v>0.91200000000000003</v>
      </c>
      <c r="F147" s="2792"/>
      <c r="G147" s="2797">
        <v>0.69499999999999995</v>
      </c>
      <c r="H147" s="2792"/>
      <c r="I147" s="2797">
        <v>0.40600000000000003</v>
      </c>
      <c r="J147" s="2835"/>
      <c r="K147" s="1041">
        <f t="shared" si="9"/>
        <v>61.606000000000002</v>
      </c>
      <c r="L147" s="1264"/>
      <c r="M147" s="3491"/>
      <c r="N147" s="3491"/>
    </row>
    <row r="148" spans="1:15" s="1270" customFormat="1">
      <c r="A148" s="1259" t="s">
        <v>350</v>
      </c>
      <c r="B148" s="1259"/>
      <c r="C148" s="2797">
        <v>-2.5999999999999999E-2</v>
      </c>
      <c r="D148" s="2792"/>
      <c r="E148" s="2797">
        <v>0</v>
      </c>
      <c r="F148" s="2792"/>
      <c r="G148" s="2797">
        <v>0</v>
      </c>
      <c r="H148" s="2792"/>
      <c r="I148" s="2797">
        <v>0</v>
      </c>
      <c r="J148" s="2835"/>
      <c r="K148" s="1041">
        <f t="shared" si="9"/>
        <v>-2.5999999999999999E-2</v>
      </c>
      <c r="L148" s="1264"/>
      <c r="M148" s="3491"/>
      <c r="N148" s="3491"/>
    </row>
    <row r="149" spans="1:15" s="1270" customFormat="1">
      <c r="A149" s="1259" t="s">
        <v>351</v>
      </c>
      <c r="B149" s="1259"/>
      <c r="C149" s="2797">
        <v>-599.92999999999995</v>
      </c>
      <c r="D149" s="2792"/>
      <c r="E149" s="2797">
        <v>1.9E-2</v>
      </c>
      <c r="F149" s="2792"/>
      <c r="G149" s="2797">
        <v>15.156000000000001</v>
      </c>
      <c r="H149" s="2792"/>
      <c r="I149" s="2797">
        <v>0</v>
      </c>
      <c r="J149" s="2835"/>
      <c r="K149" s="1041">
        <f t="shared" si="9"/>
        <v>-615.06700000000001</v>
      </c>
      <c r="L149" s="1264"/>
      <c r="M149" s="3491"/>
      <c r="N149" s="3491"/>
    </row>
    <row r="150" spans="1:15" s="1270" customFormat="1">
      <c r="A150" s="1259" t="s">
        <v>352</v>
      </c>
      <c r="B150" s="1259"/>
      <c r="C150" s="2797">
        <v>-180.01900000000001</v>
      </c>
      <c r="D150" s="2792"/>
      <c r="E150" s="2797">
        <v>1E-3</v>
      </c>
      <c r="F150" s="2792"/>
      <c r="G150" s="3558">
        <v>14.837999999999999</v>
      </c>
      <c r="H150" s="2792"/>
      <c r="I150" s="2797">
        <v>0</v>
      </c>
      <c r="J150" s="2835"/>
      <c r="K150" s="1041">
        <f t="shared" si="9"/>
        <v>-194.85599999999999</v>
      </c>
      <c r="L150" s="1264"/>
      <c r="M150" s="3491"/>
      <c r="N150" s="3491"/>
    </row>
    <row r="151" spans="1:15" s="1270" customFormat="1">
      <c r="A151" s="1259" t="s">
        <v>353</v>
      </c>
      <c r="B151" s="1259"/>
      <c r="C151" s="2797">
        <v>160.41900000000001</v>
      </c>
      <c r="D151" s="2792"/>
      <c r="E151" s="2797">
        <v>0.216</v>
      </c>
      <c r="F151" s="2792"/>
      <c r="G151" s="3558">
        <v>2.4689999999999999</v>
      </c>
      <c r="H151" s="2792"/>
      <c r="I151" s="2797">
        <v>0.97</v>
      </c>
      <c r="J151" s="2835"/>
      <c r="K151" s="1041">
        <f t="shared" si="9"/>
        <v>159.136</v>
      </c>
      <c r="L151" s="1264"/>
      <c r="M151" s="3491"/>
      <c r="N151" s="3491"/>
    </row>
    <row r="152" spans="1:15" s="1270" customFormat="1">
      <c r="A152" s="1259" t="s">
        <v>354</v>
      </c>
      <c r="B152" s="1259"/>
      <c r="C152" s="2797">
        <v>-75.605999999999995</v>
      </c>
      <c r="D152" s="2792"/>
      <c r="E152" s="2797">
        <v>0</v>
      </c>
      <c r="F152" s="2792"/>
      <c r="G152" s="2797">
        <v>0.76800000000000002</v>
      </c>
      <c r="H152" s="2792"/>
      <c r="I152" s="2797">
        <v>0</v>
      </c>
      <c r="J152" s="2835"/>
      <c r="K152" s="1041">
        <f t="shared" si="9"/>
        <v>-76.373999999999995</v>
      </c>
      <c r="L152" s="1264"/>
      <c r="M152" s="3491"/>
    </row>
    <row r="153" spans="1:15" s="1270" customFormat="1">
      <c r="A153" s="1259" t="s">
        <v>1336</v>
      </c>
      <c r="B153" s="1259"/>
      <c r="C153" s="2797">
        <v>61.655999999999999</v>
      </c>
      <c r="D153" s="2792"/>
      <c r="E153" s="2797">
        <v>0</v>
      </c>
      <c r="F153" s="2792"/>
      <c r="G153" s="2797">
        <v>25.89</v>
      </c>
      <c r="H153" s="2792"/>
      <c r="I153" s="2797">
        <v>100</v>
      </c>
      <c r="J153" s="2835"/>
      <c r="K153" s="1041">
        <f t="shared" si="9"/>
        <v>135.76599999999999</v>
      </c>
      <c r="L153" s="1264"/>
      <c r="M153" s="3491"/>
      <c r="N153" s="3491"/>
    </row>
    <row r="154" spans="1:15">
      <c r="A154" s="754" t="s">
        <v>355</v>
      </c>
      <c r="B154" s="1259"/>
      <c r="C154" s="760">
        <f>ROUND(SUM(C115:C153),3)</f>
        <v>-1151.2170000000001</v>
      </c>
      <c r="D154" s="754"/>
      <c r="E154" s="760">
        <f>ROUND(SUM(E115:E153),3)</f>
        <v>577.77099999999996</v>
      </c>
      <c r="F154" s="754"/>
      <c r="G154" s="760">
        <f>ROUND(SUM(G115:G153),3)</f>
        <v>697.65800000000002</v>
      </c>
      <c r="H154" s="754"/>
      <c r="I154" s="760">
        <f>ROUND(SUM(I115:I153),3)</f>
        <v>29.890999999999998</v>
      </c>
      <c r="J154" s="754"/>
      <c r="K154" s="760">
        <f>ROUND(SUM(K116:K153),3)</f>
        <v>-1241.213</v>
      </c>
      <c r="L154" s="761"/>
      <c r="M154" s="3496"/>
      <c r="N154" s="3496"/>
      <c r="O154" s="755"/>
    </row>
    <row r="155" spans="1:15">
      <c r="A155" s="754"/>
      <c r="B155" s="1259"/>
      <c r="C155" s="1263"/>
      <c r="D155" s="1259"/>
      <c r="E155" s="1271"/>
      <c r="F155" s="1272"/>
      <c r="G155" s="1271"/>
      <c r="H155" s="1272"/>
      <c r="I155" s="1271"/>
      <c r="J155" s="1259"/>
      <c r="K155" s="1263"/>
      <c r="L155" s="1263"/>
    </row>
    <row r="156" spans="1:15" ht="16.5" thickBot="1">
      <c r="A156" s="754" t="s">
        <v>356</v>
      </c>
      <c r="B156" s="762"/>
      <c r="C156" s="763">
        <f>ROUND(SUM(C24+C101+C111+C154),3)</f>
        <v>12748.987999999999</v>
      </c>
      <c r="D156" s="762"/>
      <c r="E156" s="763">
        <f>ROUND(SUM(E24+E101+E111+E154),3)</f>
        <v>13682.03</v>
      </c>
      <c r="F156" s="764"/>
      <c r="G156" s="763">
        <f>ROUND(SUM(G24+G101+G111+G154),3)</f>
        <v>12511.009</v>
      </c>
      <c r="H156" s="764"/>
      <c r="I156" s="763">
        <f>ROUND(SUM(I24+I101+I111+I154),3)</f>
        <v>93.474999999999994</v>
      </c>
      <c r="J156" s="762"/>
      <c r="K156" s="763">
        <f>ROUND(SUM(K24+K101+K111+K154),3)</f>
        <v>14013.484</v>
      </c>
      <c r="L156" s="765"/>
    </row>
    <row r="157" spans="1:15" ht="16.5" thickTop="1">
      <c r="A157" s="1259"/>
      <c r="B157" s="1259"/>
      <c r="C157" s="1263" t="s">
        <v>15</v>
      </c>
      <c r="D157" s="1259"/>
      <c r="E157" s="1263"/>
      <c r="F157" s="1259"/>
      <c r="G157" s="1263"/>
      <c r="H157" s="1259"/>
      <c r="I157" s="1263"/>
      <c r="J157" s="1259"/>
      <c r="K157" s="1263"/>
      <c r="L157" s="1263"/>
    </row>
    <row r="158" spans="1:15">
      <c r="A158" s="1259"/>
      <c r="B158" s="1259"/>
      <c r="C158" s="1259"/>
      <c r="D158" s="1259"/>
      <c r="E158" s="1259"/>
      <c r="F158" s="1259"/>
      <c r="G158" s="1259"/>
      <c r="H158" s="1259"/>
      <c r="I158" s="1259"/>
      <c r="J158" s="1259"/>
      <c r="K158" s="1259"/>
      <c r="L158" s="1263"/>
    </row>
    <row r="159" spans="1:15">
      <c r="A159" s="753"/>
      <c r="B159" s="1259"/>
      <c r="C159" s="1259"/>
      <c r="D159" s="1259"/>
      <c r="E159" s="1259"/>
      <c r="F159" s="1259"/>
      <c r="G159" s="1259"/>
      <c r="H159" s="1259"/>
      <c r="I159" s="1272"/>
      <c r="J159" s="1259"/>
      <c r="K159" s="2592"/>
      <c r="L159" s="1263"/>
    </row>
    <row r="160" spans="1:15">
      <c r="A160" s="1259" t="s">
        <v>15</v>
      </c>
      <c r="B160" s="1259"/>
      <c r="C160" s="1259"/>
      <c r="D160" s="1259"/>
      <c r="E160" s="1259"/>
      <c r="F160" s="1259"/>
      <c r="G160" s="1259"/>
      <c r="H160" s="1259"/>
      <c r="I160" s="1259"/>
      <c r="J160" s="1259"/>
      <c r="K160" s="1259"/>
      <c r="L160" s="1263"/>
    </row>
    <row r="161" spans="1:12">
      <c r="A161" s="1259"/>
      <c r="B161" s="1259"/>
      <c r="C161" s="1259"/>
      <c r="D161" s="1259"/>
      <c r="E161" s="1259"/>
      <c r="F161" s="1259"/>
      <c r="G161" s="1259"/>
      <c r="H161" s="1259"/>
      <c r="I161" s="1259"/>
      <c r="J161" s="1259"/>
      <c r="K161" s="1259"/>
      <c r="L161" s="1263"/>
    </row>
    <row r="162" spans="1:12">
      <c r="A162" s="1273"/>
      <c r="B162" s="1259"/>
      <c r="C162" s="1259"/>
      <c r="D162" s="1259"/>
      <c r="E162" s="1259"/>
      <c r="F162" s="1259"/>
      <c r="G162" s="1259"/>
      <c r="H162" s="1259"/>
      <c r="I162" s="1274"/>
      <c r="J162" s="1259"/>
      <c r="K162" s="1259" t="s">
        <v>15</v>
      </c>
      <c r="L162" s="1263"/>
    </row>
    <row r="163" spans="1:12">
      <c r="I163" s="3642"/>
    </row>
    <row r="164" spans="1:12">
      <c r="I164" s="3642"/>
    </row>
    <row r="165" spans="1:12">
      <c r="I165" s="3642"/>
    </row>
    <row r="166" spans="1:12">
      <c r="I166" s="3642"/>
    </row>
    <row r="167" spans="1:12">
      <c r="I167" s="765"/>
    </row>
    <row r="168" spans="1:12">
      <c r="I168" s="3642"/>
    </row>
    <row r="169" spans="1:12">
      <c r="I169" s="3642"/>
    </row>
    <row r="170" spans="1:12">
      <c r="I170" s="3642"/>
    </row>
    <row r="171" spans="1:12">
      <c r="I171" s="3642"/>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0" firstPageNumber="38" fitToHeight="3" orientation="landscape" useFirstPageNumber="1" r:id="rId2"/>
  <headerFooter scaleWithDoc="0" alignWithMargins="0">
    <oddFooter>&amp;C&amp;8&amp;P</oddFooter>
    <firstFooter>&amp;C28</firstFooter>
  </headerFooter>
  <rowBreaks count="2" manualBreakCount="2">
    <brk id="61" max="11" man="1"/>
    <brk id="113"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70" zoomScaleNormal="80" workbookViewId="0"/>
  </sheetViews>
  <sheetFormatPr defaultColWidth="8.88671875" defaultRowHeight="18"/>
  <cols>
    <col min="1" max="1" width="55.77734375" style="796" customWidth="1"/>
    <col min="2" max="2" width="6.33203125" style="796" customWidth="1"/>
    <col min="3" max="3" width="20.21875" style="796" customWidth="1"/>
    <col min="4" max="4" width="3.109375" style="796" customWidth="1"/>
    <col min="5" max="5" width="17.33203125" style="3643" customWidth="1"/>
    <col min="6" max="6" width="3.5546875" style="796" customWidth="1"/>
    <col min="7" max="7" width="18.21875" style="796" customWidth="1"/>
    <col min="8" max="8" width="3.109375" style="796" customWidth="1"/>
    <col min="9" max="9" width="18.5546875" style="796" customWidth="1"/>
    <col min="10" max="10" width="3.44140625" style="796" customWidth="1"/>
    <col min="11" max="11" width="22.109375" style="796" customWidth="1"/>
    <col min="12" max="12" width="15.5546875" style="796" customWidth="1"/>
    <col min="13" max="13" width="9.6640625" style="796" bestFit="1" customWidth="1"/>
    <col min="14" max="16384" width="8.88671875" style="796"/>
  </cols>
  <sheetData>
    <row r="1" spans="1:15">
      <c r="A1" s="1052" t="s">
        <v>1064</v>
      </c>
    </row>
    <row r="2" spans="1:15">
      <c r="A2" s="1457"/>
    </row>
    <row r="3" spans="1:15" s="771" customFormat="1" ht="18" customHeight="1">
      <c r="A3" s="766" t="s">
        <v>0</v>
      </c>
      <c r="B3" s="767"/>
      <c r="C3" s="767"/>
      <c r="D3" s="767"/>
      <c r="E3" s="3644"/>
      <c r="F3" s="768"/>
      <c r="G3" s="769"/>
      <c r="H3" s="769"/>
      <c r="I3" s="766"/>
      <c r="J3" s="766"/>
      <c r="K3" s="770" t="s">
        <v>357</v>
      </c>
      <c r="L3" s="769"/>
      <c r="M3" s="769"/>
      <c r="N3" s="769"/>
      <c r="O3" s="769"/>
    </row>
    <row r="4" spans="1:15" s="771" customFormat="1" ht="18" customHeight="1">
      <c r="A4" s="766" t="s">
        <v>358</v>
      </c>
      <c r="B4" s="767"/>
      <c r="C4" s="767"/>
      <c r="D4" s="767"/>
      <c r="E4" s="3644"/>
      <c r="F4" s="768"/>
      <c r="G4" s="769"/>
      <c r="H4" s="769"/>
      <c r="I4" s="766"/>
      <c r="J4" s="766"/>
      <c r="K4" s="766"/>
      <c r="L4" s="769"/>
      <c r="M4" s="769"/>
      <c r="N4" s="769"/>
      <c r="O4" s="769"/>
    </row>
    <row r="5" spans="1:15" s="771" customFormat="1" ht="18" customHeight="1">
      <c r="A5" s="1784" t="s">
        <v>1427</v>
      </c>
      <c r="B5" s="767"/>
      <c r="C5" s="767"/>
      <c r="D5" s="767"/>
      <c r="E5" s="3644"/>
      <c r="F5" s="768"/>
      <c r="G5" s="769"/>
      <c r="H5" s="769"/>
      <c r="I5" s="766"/>
      <c r="J5" s="766"/>
      <c r="K5" s="766"/>
      <c r="L5" s="769"/>
      <c r="M5" s="769"/>
      <c r="N5" s="769"/>
      <c r="O5" s="769"/>
    </row>
    <row r="6" spans="1:15" s="771" customFormat="1" ht="18" customHeight="1">
      <c r="A6" s="772" t="s">
        <v>359</v>
      </c>
      <c r="B6" s="767"/>
      <c r="C6" s="767"/>
      <c r="D6" s="767"/>
      <c r="E6" s="3644"/>
      <c r="F6" s="768"/>
      <c r="G6" s="769"/>
      <c r="H6" s="769"/>
      <c r="I6" s="766"/>
      <c r="J6" s="766"/>
      <c r="K6" s="766"/>
      <c r="L6" s="769"/>
      <c r="M6" s="769"/>
      <c r="N6" s="769"/>
      <c r="O6" s="769"/>
    </row>
    <row r="7" spans="1:15" s="771" customFormat="1" ht="18" customHeight="1">
      <c r="A7" s="1784" t="s">
        <v>1462</v>
      </c>
      <c r="B7" s="767"/>
      <c r="C7" s="767"/>
      <c r="D7" s="767"/>
      <c r="E7" s="3644"/>
      <c r="F7" s="768"/>
      <c r="G7" s="769"/>
      <c r="H7" s="769"/>
      <c r="I7" s="766"/>
      <c r="J7" s="766"/>
      <c r="K7" s="766"/>
      <c r="L7" s="769"/>
      <c r="M7" s="769"/>
      <c r="N7" s="769"/>
      <c r="O7" s="769"/>
    </row>
    <row r="8" spans="1:15" s="771" customFormat="1" ht="18" customHeight="1">
      <c r="A8" s="1784" t="str">
        <f>'Sch 1 '!A8</f>
        <v>FOR THE MONTH OF APRIL 2018</v>
      </c>
      <c r="B8" s="767"/>
      <c r="C8" s="767"/>
      <c r="D8" s="767"/>
      <c r="E8" s="3644"/>
      <c r="G8" s="768"/>
      <c r="H8" s="769"/>
      <c r="I8" s="766"/>
      <c r="J8" s="766"/>
      <c r="K8" s="766"/>
      <c r="L8" s="769"/>
      <c r="M8" s="769"/>
      <c r="N8" s="769"/>
      <c r="O8" s="769"/>
    </row>
    <row r="9" spans="1:15" s="771" customFormat="1" ht="18" customHeight="1">
      <c r="A9" s="766" t="s">
        <v>957</v>
      </c>
      <c r="B9" s="767"/>
      <c r="C9" s="767"/>
      <c r="D9" s="767"/>
      <c r="E9" s="3644"/>
      <c r="F9" s="768"/>
      <c r="G9" s="769"/>
      <c r="H9" s="769"/>
      <c r="I9" s="766"/>
      <c r="J9" s="766"/>
      <c r="K9" s="766"/>
      <c r="L9" s="769"/>
      <c r="M9" s="769"/>
      <c r="N9" s="769"/>
      <c r="O9" s="769"/>
    </row>
    <row r="10" spans="1:15" s="771" customFormat="1">
      <c r="A10" s="766"/>
      <c r="B10" s="766"/>
      <c r="C10" s="769"/>
      <c r="D10" s="766"/>
      <c r="E10" s="778"/>
      <c r="F10" s="769"/>
      <c r="G10" s="769"/>
      <c r="H10" s="769"/>
      <c r="I10" s="769"/>
      <c r="J10" s="769"/>
      <c r="K10" s="769"/>
      <c r="L10" s="769"/>
      <c r="M10" s="769"/>
      <c r="N10" s="769"/>
      <c r="O10" s="769"/>
    </row>
    <row r="11" spans="1:15" s="771" customFormat="1">
      <c r="A11" s="766"/>
      <c r="B11" s="766"/>
      <c r="C11" s="766"/>
      <c r="D11" s="766"/>
      <c r="E11" s="802"/>
      <c r="F11" s="766"/>
      <c r="G11" s="766"/>
      <c r="H11" s="766"/>
      <c r="I11" s="766"/>
      <c r="J11" s="766"/>
      <c r="K11" s="766"/>
      <c r="L11" s="769"/>
      <c r="M11" s="769"/>
      <c r="N11" s="769"/>
      <c r="O11" s="769"/>
    </row>
    <row r="12" spans="1:15" s="771" customFormat="1">
      <c r="A12" s="766"/>
      <c r="B12" s="766"/>
      <c r="C12" s="773"/>
      <c r="D12" s="766"/>
      <c r="E12" s="802"/>
      <c r="F12" s="766"/>
      <c r="G12" s="766"/>
      <c r="H12" s="766"/>
      <c r="I12" s="773" t="s">
        <v>360</v>
      </c>
      <c r="J12" s="766"/>
      <c r="K12" s="773"/>
      <c r="L12" s="769"/>
      <c r="M12" s="769"/>
      <c r="N12" s="769"/>
      <c r="O12" s="769"/>
    </row>
    <row r="13" spans="1:15" s="771" customFormat="1">
      <c r="A13" s="766"/>
      <c r="B13" s="766"/>
      <c r="C13" s="773" t="s">
        <v>237</v>
      </c>
      <c r="D13" s="766"/>
      <c r="E13" s="802"/>
      <c r="F13" s="766"/>
      <c r="G13" s="766"/>
      <c r="H13" s="766"/>
      <c r="I13" s="773" t="s">
        <v>361</v>
      </c>
      <c r="J13" s="766"/>
      <c r="K13" s="773" t="s">
        <v>237</v>
      </c>
      <c r="L13" s="769"/>
      <c r="M13" s="769"/>
      <c r="N13" s="769"/>
      <c r="O13" s="769"/>
    </row>
    <row r="14" spans="1:15" s="771" customFormat="1">
      <c r="A14" s="774" t="s">
        <v>362</v>
      </c>
      <c r="B14" s="766"/>
      <c r="C14" s="1557" t="str">
        <f>'Sch 1 '!C11</f>
        <v>APRIL 1, 2018</v>
      </c>
      <c r="D14" s="766"/>
      <c r="E14" s="1215" t="s">
        <v>239</v>
      </c>
      <c r="F14" s="766"/>
      <c r="G14" s="773" t="s">
        <v>240</v>
      </c>
      <c r="H14" s="766"/>
      <c r="I14" s="773" t="s">
        <v>241</v>
      </c>
      <c r="J14" s="766"/>
      <c r="K14" s="1558" t="str">
        <f>'Sch 1 '!K11</f>
        <v>APRIL 30, 2018</v>
      </c>
      <c r="L14" s="769"/>
      <c r="M14" s="769"/>
      <c r="N14" s="769"/>
      <c r="O14" s="769"/>
    </row>
    <row r="15" spans="1:15" s="771" customFormat="1" ht="12" customHeight="1">
      <c r="A15" s="769"/>
      <c r="B15" s="769"/>
      <c r="C15" s="775"/>
      <c r="D15" s="769"/>
      <c r="E15" s="3645"/>
      <c r="F15" s="769"/>
      <c r="G15" s="776"/>
      <c r="H15" s="769"/>
      <c r="I15" s="776"/>
      <c r="J15" s="769"/>
      <c r="K15" s="776"/>
      <c r="L15" s="769"/>
      <c r="M15" s="769"/>
      <c r="N15" s="769"/>
      <c r="O15" s="769"/>
    </row>
    <row r="16" spans="1:15" s="771" customFormat="1">
      <c r="A16" s="777" t="s">
        <v>219</v>
      </c>
      <c r="B16" s="769"/>
      <c r="C16" s="778"/>
      <c r="D16" s="778"/>
      <c r="E16" s="806"/>
      <c r="F16" s="778"/>
      <c r="G16" s="778"/>
      <c r="H16" s="778"/>
      <c r="I16" s="778"/>
      <c r="J16" s="778"/>
      <c r="K16" s="778"/>
      <c r="L16" s="769"/>
      <c r="M16" s="769"/>
      <c r="N16" s="769"/>
      <c r="O16" s="769"/>
    </row>
    <row r="17" spans="1:15" s="771" customFormat="1" ht="12" customHeight="1">
      <c r="A17" s="769"/>
      <c r="B17" s="769"/>
      <c r="C17" s="778"/>
      <c r="D17" s="778"/>
      <c r="E17" s="806"/>
      <c r="F17" s="778"/>
      <c r="G17" s="778"/>
      <c r="H17" s="778"/>
      <c r="I17" s="778"/>
      <c r="J17" s="778"/>
      <c r="K17" s="778"/>
      <c r="L17" s="769"/>
      <c r="M17" s="769"/>
      <c r="N17" s="769"/>
      <c r="O17" s="769"/>
    </row>
    <row r="18" spans="1:15" s="780" customFormat="1" ht="15.95" customHeight="1">
      <c r="A18" s="778" t="s">
        <v>363</v>
      </c>
      <c r="B18" s="779"/>
      <c r="C18" s="2798">
        <v>0.105</v>
      </c>
      <c r="D18" s="2799"/>
      <c r="E18" s="2798">
        <v>1E-3</v>
      </c>
      <c r="F18" s="2799"/>
      <c r="G18" s="2798">
        <v>0</v>
      </c>
      <c r="H18" s="2799"/>
      <c r="I18" s="2798">
        <v>0</v>
      </c>
      <c r="J18" s="2800"/>
      <c r="K18" s="2801">
        <f t="shared" ref="K18:K25" si="0">ROUND(SUM(C18)+SUM(E18)-SUM(G18)+SUM(I18),3)</f>
        <v>0.106</v>
      </c>
      <c r="L18" s="778"/>
      <c r="M18" s="778"/>
      <c r="N18" s="778"/>
      <c r="O18" s="778"/>
    </row>
    <row r="19" spans="1:15" s="780" customFormat="1" ht="15.75" customHeight="1">
      <c r="A19" s="778" t="s">
        <v>364</v>
      </c>
      <c r="B19" s="778"/>
      <c r="C19" s="2802">
        <v>1.409</v>
      </c>
      <c r="D19" s="2799"/>
      <c r="E19" s="2802">
        <v>0.69499999999999995</v>
      </c>
      <c r="F19" s="2799"/>
      <c r="G19" s="2802">
        <v>0.40300000000000002</v>
      </c>
      <c r="H19" s="2799"/>
      <c r="I19" s="2802">
        <v>0</v>
      </c>
      <c r="J19" s="2800"/>
      <c r="K19" s="2803">
        <f t="shared" si="0"/>
        <v>1.7010000000000001</v>
      </c>
      <c r="L19" s="778"/>
      <c r="M19" s="778"/>
      <c r="N19" s="778"/>
      <c r="O19" s="778"/>
    </row>
    <row r="20" spans="1:15" s="780" customFormat="1" ht="15.95" customHeight="1">
      <c r="A20" s="778" t="s">
        <v>365</v>
      </c>
      <c r="B20" s="778"/>
      <c r="C20" s="2802">
        <v>3.45</v>
      </c>
      <c r="D20" s="2799"/>
      <c r="E20" s="2802">
        <v>2.831</v>
      </c>
      <c r="F20" s="2799"/>
      <c r="G20" s="2802">
        <v>1.9790000000000001</v>
      </c>
      <c r="H20" s="2799"/>
      <c r="I20" s="2802">
        <v>0</v>
      </c>
      <c r="J20" s="2800"/>
      <c r="K20" s="2803">
        <f t="shared" si="0"/>
        <v>4.3019999999999996</v>
      </c>
      <c r="L20" s="778"/>
      <c r="M20" s="778"/>
      <c r="N20" s="778"/>
      <c r="O20" s="778"/>
    </row>
    <row r="21" spans="1:15" s="780" customFormat="1" ht="15.95" customHeight="1">
      <c r="A21" s="778" t="s">
        <v>1108</v>
      </c>
      <c r="B21" s="778"/>
      <c r="C21" s="2802">
        <v>3.2530000000000001</v>
      </c>
      <c r="D21" s="2799"/>
      <c r="E21" s="2802">
        <v>0.26800000000000002</v>
      </c>
      <c r="F21" s="2799"/>
      <c r="G21" s="2802">
        <v>0.224</v>
      </c>
      <c r="H21" s="2799"/>
      <c r="I21" s="2802">
        <v>0</v>
      </c>
      <c r="J21" s="2800"/>
      <c r="K21" s="2803">
        <f t="shared" si="0"/>
        <v>3.2970000000000002</v>
      </c>
      <c r="L21" s="778"/>
      <c r="M21" s="778"/>
      <c r="N21" s="778"/>
      <c r="O21" s="778"/>
    </row>
    <row r="22" spans="1:15" s="780" customFormat="1" ht="15.95" customHeight="1">
      <c r="A22" s="778" t="s">
        <v>1109</v>
      </c>
      <c r="B22" s="778"/>
      <c r="C22" s="2802">
        <v>2.1389999999999998</v>
      </c>
      <c r="D22" s="2799"/>
      <c r="E22" s="2802">
        <v>1.0999999999999999E-2</v>
      </c>
      <c r="F22" s="2799"/>
      <c r="G22" s="2802">
        <v>0.03</v>
      </c>
      <c r="H22" s="2799"/>
      <c r="I22" s="2802">
        <v>0</v>
      </c>
      <c r="J22" s="2800"/>
      <c r="K22" s="2803">
        <f t="shared" si="0"/>
        <v>2.12</v>
      </c>
      <c r="L22" s="778"/>
      <c r="M22" s="778"/>
      <c r="N22" s="778"/>
      <c r="O22" s="778"/>
    </row>
    <row r="23" spans="1:15" s="780" customFormat="1" ht="15.95" customHeight="1">
      <c r="A23" s="778" t="s">
        <v>1110</v>
      </c>
      <c r="B23" s="778"/>
      <c r="C23" s="2802">
        <v>1.8680000000000001</v>
      </c>
      <c r="D23" s="2799"/>
      <c r="E23" s="2802">
        <v>3.0000000000000001E-3</v>
      </c>
      <c r="F23" s="2799"/>
      <c r="G23" s="2802">
        <v>3.4000000000000002E-2</v>
      </c>
      <c r="H23" s="2799"/>
      <c r="I23" s="2802">
        <v>0</v>
      </c>
      <c r="J23" s="2800"/>
      <c r="K23" s="2803">
        <f t="shared" si="0"/>
        <v>1.837</v>
      </c>
      <c r="L23" s="778"/>
      <c r="M23" s="778"/>
      <c r="N23" s="778"/>
      <c r="O23" s="778"/>
    </row>
    <row r="24" spans="1:15" s="780" customFormat="1" ht="15.95" customHeight="1">
      <c r="A24" s="778" t="s">
        <v>366</v>
      </c>
      <c r="B24" s="778"/>
      <c r="C24" s="2802">
        <v>4.3559999999999999</v>
      </c>
      <c r="D24" s="2799"/>
      <c r="E24" s="2802">
        <v>8.1000000000000003E-2</v>
      </c>
      <c r="F24" s="2799"/>
      <c r="G24" s="2802">
        <v>6.9000000000000006E-2</v>
      </c>
      <c r="H24" s="2799"/>
      <c r="I24" s="2802">
        <v>0</v>
      </c>
      <c r="J24" s="2800"/>
      <c r="K24" s="2803">
        <f t="shared" si="0"/>
        <v>4.3680000000000003</v>
      </c>
      <c r="L24" s="778"/>
      <c r="M24" s="778"/>
      <c r="N24" s="778"/>
      <c r="O24" s="778"/>
    </row>
    <row r="25" spans="1:15" s="780" customFormat="1" ht="15.95" customHeight="1">
      <c r="A25" s="782" t="s">
        <v>367</v>
      </c>
      <c r="B25" s="778"/>
      <c r="C25" s="2802">
        <v>7.9870000000000001</v>
      </c>
      <c r="D25" s="2799"/>
      <c r="E25" s="2802">
        <v>192.13</v>
      </c>
      <c r="F25" s="2799"/>
      <c r="G25" s="2802">
        <v>192.119</v>
      </c>
      <c r="H25" s="2799"/>
      <c r="I25" s="2802">
        <v>0</v>
      </c>
      <c r="J25" s="2800"/>
      <c r="K25" s="2803">
        <f t="shared" si="0"/>
        <v>7.9980000000000002</v>
      </c>
      <c r="L25" s="778"/>
      <c r="M25" s="778"/>
      <c r="N25" s="778"/>
      <c r="O25" s="778"/>
    </row>
    <row r="26" spans="1:15" s="771" customFormat="1" ht="20.100000000000001" customHeight="1">
      <c r="A26" s="766" t="s">
        <v>368</v>
      </c>
      <c r="B26" s="769"/>
      <c r="C26" s="2582">
        <f>ROUND(SUM(C18:C25),3)</f>
        <v>24.567</v>
      </c>
      <c r="D26" s="2618"/>
      <c r="E26" s="2582">
        <f>ROUND(SUM(E18:E25),3)</f>
        <v>196.02</v>
      </c>
      <c r="F26" s="2618"/>
      <c r="G26" s="2582">
        <f>ROUND(SUM(G18:G25),3)</f>
        <v>194.858</v>
      </c>
      <c r="H26" s="1223"/>
      <c r="I26" s="2582">
        <f>ROUND(SUM(I18:I25),3)</f>
        <v>0</v>
      </c>
      <c r="J26" s="1223"/>
      <c r="K26" s="2582">
        <f>ROUND(SUM(K18:K25),3)</f>
        <v>25.728999999999999</v>
      </c>
      <c r="L26" s="785"/>
      <c r="M26" s="769"/>
      <c r="N26" s="769"/>
      <c r="O26" s="769"/>
    </row>
    <row r="27" spans="1:15" s="771" customFormat="1" ht="15" customHeight="1">
      <c r="A27" s="769"/>
      <c r="B27" s="769"/>
      <c r="C27" s="1194"/>
      <c r="D27" s="832"/>
      <c r="E27" s="1225"/>
      <c r="F27" s="832"/>
      <c r="G27" s="1225"/>
      <c r="H27" s="832"/>
      <c r="I27" s="1195"/>
      <c r="J27" s="832"/>
      <c r="K27" s="1194"/>
      <c r="L27" s="769"/>
      <c r="M27" s="769"/>
      <c r="N27" s="769"/>
      <c r="O27" s="769"/>
    </row>
    <row r="28" spans="1:15" s="771" customFormat="1" ht="15" customHeight="1">
      <c r="A28" s="769"/>
      <c r="B28" s="769"/>
      <c r="C28" s="832"/>
      <c r="D28" s="1196" t="s">
        <v>236</v>
      </c>
      <c r="E28" s="781"/>
      <c r="F28" s="832"/>
      <c r="G28" s="781"/>
      <c r="H28" s="832"/>
      <c r="I28" s="832"/>
      <c r="J28" s="832"/>
      <c r="K28" s="832"/>
      <c r="L28" s="769"/>
      <c r="M28" s="769"/>
      <c r="N28" s="769"/>
      <c r="O28" s="769"/>
    </row>
    <row r="29" spans="1:15" s="771" customFormat="1" ht="15" customHeight="1">
      <c r="A29" s="769"/>
      <c r="B29" s="769"/>
      <c r="C29" s="832"/>
      <c r="D29" s="832"/>
      <c r="E29" s="781"/>
      <c r="F29" s="832"/>
      <c r="G29" s="781"/>
      <c r="H29" s="832"/>
      <c r="I29" s="832"/>
      <c r="J29" s="832"/>
      <c r="K29" s="832"/>
      <c r="L29" s="769"/>
      <c r="M29" s="769"/>
      <c r="N29" s="769"/>
      <c r="O29" s="769"/>
    </row>
    <row r="30" spans="1:15" s="771" customFormat="1" ht="15" customHeight="1">
      <c r="A30" s="777" t="s">
        <v>224</v>
      </c>
      <c r="B30" s="769"/>
      <c r="C30" s="832"/>
      <c r="D30" s="832"/>
      <c r="E30" s="781"/>
      <c r="F30" s="832"/>
      <c r="G30" s="781"/>
      <c r="H30" s="832"/>
      <c r="I30" s="832"/>
      <c r="J30" s="832"/>
      <c r="K30" s="832"/>
      <c r="L30" s="769"/>
      <c r="M30" s="769"/>
      <c r="N30" s="769"/>
      <c r="O30" s="769"/>
    </row>
    <row r="31" spans="1:15" s="771" customFormat="1" ht="15" customHeight="1">
      <c r="A31" s="777"/>
      <c r="B31" s="769"/>
      <c r="C31" s="832"/>
      <c r="D31" s="832"/>
      <c r="E31" s="781"/>
      <c r="F31" s="781"/>
      <c r="G31" s="781"/>
      <c r="H31" s="781"/>
      <c r="I31" s="781"/>
      <c r="J31" s="781"/>
      <c r="K31" s="781"/>
      <c r="L31" s="769"/>
      <c r="M31" s="769"/>
      <c r="N31" s="769"/>
      <c r="O31" s="769"/>
    </row>
    <row r="32" spans="1:15" s="771" customFormat="1" ht="15.95" customHeight="1">
      <c r="A32" s="769" t="s">
        <v>1111</v>
      </c>
      <c r="B32" s="769"/>
      <c r="C32" s="2802">
        <v>-98.980999999999995</v>
      </c>
      <c r="D32" s="2799"/>
      <c r="E32" s="2802">
        <v>13.034000000000001</v>
      </c>
      <c r="F32" s="2799"/>
      <c r="G32" s="2802">
        <v>12.993</v>
      </c>
      <c r="H32" s="2799"/>
      <c r="I32" s="2802">
        <v>0.92600000000000005</v>
      </c>
      <c r="J32" s="2800"/>
      <c r="K32" s="2803">
        <f t="shared" ref="K32:K39" si="1">ROUND(SUM(C32)+SUM(E32)-SUM(G32)+SUM(I32),3)</f>
        <v>-98.013999999999996</v>
      </c>
      <c r="L32" s="778"/>
      <c r="M32" s="832"/>
      <c r="N32" s="769"/>
      <c r="O32" s="769"/>
    </row>
    <row r="33" spans="1:15" s="771" customFormat="1" ht="15.95" customHeight="1">
      <c r="A33" s="769" t="s">
        <v>369</v>
      </c>
      <c r="B33" s="769"/>
      <c r="C33" s="2802">
        <v>-108.85299999999999</v>
      </c>
      <c r="D33" s="2799"/>
      <c r="E33" s="2802">
        <v>3.9580000000000002</v>
      </c>
      <c r="F33" s="2799"/>
      <c r="G33" s="2802">
        <v>37.984999999999999</v>
      </c>
      <c r="H33" s="2799"/>
      <c r="I33" s="2802">
        <v>1.623</v>
      </c>
      <c r="J33" s="2800"/>
      <c r="K33" s="2803">
        <f t="shared" si="1"/>
        <v>-141.25700000000001</v>
      </c>
      <c r="L33" s="778"/>
      <c r="M33" s="832"/>
      <c r="N33" s="769"/>
      <c r="O33" s="769"/>
    </row>
    <row r="34" spans="1:15" s="771" customFormat="1" ht="15.95" customHeight="1">
      <c r="A34" s="769" t="s">
        <v>370</v>
      </c>
      <c r="B34" s="769"/>
      <c r="C34" s="2802">
        <v>3.7999999999999999E-2</v>
      </c>
      <c r="D34" s="2799"/>
      <c r="E34" s="2802">
        <v>8.2000000000000003E-2</v>
      </c>
      <c r="F34" s="2799"/>
      <c r="G34" s="2802">
        <v>0.04</v>
      </c>
      <c r="H34" s="2799"/>
      <c r="I34" s="2802">
        <v>0</v>
      </c>
      <c r="J34" s="2800"/>
      <c r="K34" s="2803">
        <f t="shared" si="1"/>
        <v>0.08</v>
      </c>
      <c r="L34" s="778"/>
      <c r="M34" s="832"/>
      <c r="N34" s="769"/>
      <c r="O34" s="769"/>
    </row>
    <row r="35" spans="1:15" s="771" customFormat="1" ht="15.95" customHeight="1">
      <c r="A35" s="769" t="s">
        <v>371</v>
      </c>
      <c r="B35" s="769"/>
      <c r="C35" s="2802">
        <v>7.0000000000000007E-2</v>
      </c>
      <c r="D35" s="2799"/>
      <c r="E35" s="2802">
        <v>2E-3</v>
      </c>
      <c r="F35" s="2799"/>
      <c r="G35" s="2802">
        <v>0</v>
      </c>
      <c r="H35" s="2799"/>
      <c r="I35" s="2802">
        <v>0</v>
      </c>
      <c r="J35" s="2800"/>
      <c r="K35" s="2803">
        <f t="shared" si="1"/>
        <v>7.1999999999999995E-2</v>
      </c>
      <c r="L35" s="778"/>
      <c r="M35" s="832"/>
      <c r="N35" s="769"/>
      <c r="O35" s="769"/>
    </row>
    <row r="36" spans="1:15" s="771" customFormat="1" ht="15.95" customHeight="1">
      <c r="A36" s="769" t="s">
        <v>1112</v>
      </c>
      <c r="B36" s="769"/>
      <c r="C36" s="2802">
        <v>1.756</v>
      </c>
      <c r="D36" s="2799"/>
      <c r="E36" s="2802">
        <v>3.0000000000000001E-3</v>
      </c>
      <c r="F36" s="2799"/>
      <c r="G36" s="2802">
        <v>0.107</v>
      </c>
      <c r="H36" s="2799"/>
      <c r="I36" s="2802">
        <v>-2.4E-2</v>
      </c>
      <c r="J36" s="2800"/>
      <c r="K36" s="2803">
        <f t="shared" si="1"/>
        <v>1.6279999999999999</v>
      </c>
      <c r="L36" s="778"/>
      <c r="M36" s="832"/>
      <c r="N36" s="769"/>
      <c r="O36" s="769"/>
    </row>
    <row r="37" spans="1:15" s="771" customFormat="1" ht="15.95" customHeight="1">
      <c r="A37" s="769" t="s">
        <v>372</v>
      </c>
      <c r="B37" s="769"/>
      <c r="C37" s="2802">
        <v>-28.452999999999999</v>
      </c>
      <c r="D37" s="2799"/>
      <c r="E37" s="2802">
        <v>0</v>
      </c>
      <c r="F37" s="2799"/>
      <c r="G37" s="2802">
        <v>1.272</v>
      </c>
      <c r="H37" s="2799"/>
      <c r="I37" s="2802">
        <v>0</v>
      </c>
      <c r="J37" s="2800"/>
      <c r="K37" s="2803">
        <f t="shared" si="1"/>
        <v>-29.725000000000001</v>
      </c>
      <c r="L37" s="778"/>
      <c r="M37" s="832"/>
      <c r="N37" s="769"/>
      <c r="O37" s="769"/>
    </row>
    <row r="38" spans="1:15" s="771" customFormat="1" ht="15.95" customHeight="1">
      <c r="A38" s="769" t="s">
        <v>373</v>
      </c>
      <c r="B38" s="769"/>
      <c r="C38" s="2802">
        <v>-9.8109999999999999</v>
      </c>
      <c r="D38" s="2799"/>
      <c r="E38" s="2802">
        <v>1.0820000000000001</v>
      </c>
      <c r="F38" s="2799"/>
      <c r="G38" s="2802">
        <v>0.72699999999999998</v>
      </c>
      <c r="H38" s="2799"/>
      <c r="I38" s="2802">
        <v>0</v>
      </c>
      <c r="J38" s="2800"/>
      <c r="K38" s="2803">
        <f t="shared" si="1"/>
        <v>-9.4559999999999995</v>
      </c>
      <c r="L38" s="778"/>
      <c r="M38" s="832"/>
      <c r="N38" s="769"/>
      <c r="O38" s="769"/>
    </row>
    <row r="39" spans="1:15" s="771" customFormat="1" ht="15.95" customHeight="1">
      <c r="A39" s="769" t="s">
        <v>374</v>
      </c>
      <c r="B39" s="769"/>
      <c r="C39" s="2802">
        <v>-24.931999999999999</v>
      </c>
      <c r="D39" s="2799"/>
      <c r="E39" s="2802">
        <v>4.4340000000000002</v>
      </c>
      <c r="F39" s="2799"/>
      <c r="G39" s="2802">
        <v>3.1789999999999998</v>
      </c>
      <c r="H39" s="2799"/>
      <c r="I39" s="2802">
        <v>0</v>
      </c>
      <c r="J39" s="2800"/>
      <c r="K39" s="2803">
        <f t="shared" si="1"/>
        <v>-23.677</v>
      </c>
      <c r="L39" s="769"/>
      <c r="M39" s="832"/>
      <c r="N39" s="769"/>
      <c r="O39" s="769"/>
    </row>
    <row r="40" spans="1:15" s="771" customFormat="1" ht="20.100000000000001" customHeight="1">
      <c r="A40" s="766" t="s">
        <v>375</v>
      </c>
      <c r="B40" s="769"/>
      <c r="C40" s="784">
        <f>ROUND(SUM(C32:C39),3)</f>
        <v>-269.166</v>
      </c>
      <c r="D40" s="1197"/>
      <c r="E40" s="2582">
        <f>ROUND(SUM(E32:E39),3)</f>
        <v>22.594999999999999</v>
      </c>
      <c r="F40" s="1226"/>
      <c r="G40" s="2582">
        <f>ROUND(SUM(G32:G39),3)</f>
        <v>56.302999999999997</v>
      </c>
      <c r="H40" s="1224"/>
      <c r="I40" s="2582">
        <f>ROUND(SUM(I32:I39),3)</f>
        <v>2.5249999999999999</v>
      </c>
      <c r="J40" s="1224"/>
      <c r="K40" s="2582">
        <f>ROUND(SUM(K32:K39),3)</f>
        <v>-300.34899999999999</v>
      </c>
      <c r="L40" s="789"/>
      <c r="M40" s="769"/>
      <c r="N40" s="769"/>
      <c r="O40" s="769"/>
    </row>
    <row r="41" spans="1:15" s="771" customFormat="1" ht="15" customHeight="1">
      <c r="A41" s="766"/>
      <c r="B41" s="769"/>
      <c r="C41" s="790"/>
      <c r="D41" s="787"/>
      <c r="E41" s="3646"/>
      <c r="F41" s="787"/>
      <c r="G41" s="786"/>
      <c r="H41" s="787"/>
      <c r="I41" s="788"/>
      <c r="J41" s="787"/>
      <c r="K41" s="786"/>
      <c r="L41" s="769"/>
      <c r="M41" s="769"/>
      <c r="N41" s="769"/>
      <c r="O41" s="769"/>
    </row>
    <row r="42" spans="1:15" s="771" customFormat="1" ht="15" customHeight="1">
      <c r="A42" s="766"/>
      <c r="B42" s="769"/>
      <c r="C42" s="788"/>
      <c r="D42" s="787"/>
      <c r="E42" s="3647"/>
      <c r="F42" s="787"/>
      <c r="G42" s="787" t="s">
        <v>15</v>
      </c>
      <c r="H42" s="787"/>
      <c r="I42" s="791"/>
      <c r="J42" s="787"/>
      <c r="K42" s="787"/>
      <c r="L42" s="769"/>
      <c r="M42" s="769"/>
      <c r="N42" s="769"/>
      <c r="O42" s="769"/>
    </row>
    <row r="43" spans="1:15" s="771" customFormat="1" ht="20.100000000000001" customHeight="1" thickBot="1">
      <c r="A43" s="766" t="s">
        <v>66</v>
      </c>
      <c r="B43" s="792"/>
      <c r="C43" s="1198">
        <f>ROUND(SUM(C40)+SUM(C26),3)</f>
        <v>-244.59899999999999</v>
      </c>
      <c r="D43" s="833"/>
      <c r="E43" s="3648">
        <f>ROUND(SUM(E40)+SUM(E26),3)</f>
        <v>218.61500000000001</v>
      </c>
      <c r="F43" s="833"/>
      <c r="G43" s="1198">
        <f>ROUND(SUM(G40)+SUM(G26),3)</f>
        <v>251.161</v>
      </c>
      <c r="H43" s="833"/>
      <c r="I43" s="1198">
        <f>ROUND(SUM(I40)+SUM(I26),3)</f>
        <v>2.5249999999999999</v>
      </c>
      <c r="J43" s="833"/>
      <c r="K43" s="1198">
        <f>ROUND(SUM(K40)+SUM(K26),3)</f>
        <v>-274.62</v>
      </c>
      <c r="L43" s="785"/>
      <c r="M43" s="769"/>
      <c r="N43" s="769"/>
      <c r="O43" s="769"/>
    </row>
    <row r="44" spans="1:15" s="771" customFormat="1" ht="18.75" thickTop="1">
      <c r="A44" s="769"/>
      <c r="B44" s="769"/>
      <c r="C44" s="793"/>
      <c r="D44" s="787"/>
      <c r="E44" s="3649"/>
      <c r="F44" s="787"/>
      <c r="G44" s="793"/>
      <c r="H44" s="787"/>
      <c r="I44" s="794"/>
      <c r="J44" s="787"/>
      <c r="K44" s="793"/>
      <c r="L44" s="769"/>
      <c r="M44" s="769"/>
      <c r="N44" s="769"/>
      <c r="O44" s="769"/>
    </row>
    <row r="45" spans="1:15" s="771" customFormat="1">
      <c r="A45" s="795"/>
      <c r="B45" s="796"/>
      <c r="C45" s="797"/>
      <c r="D45" s="797"/>
      <c r="E45" s="3650"/>
      <c r="F45" s="798"/>
      <c r="G45" s="2681"/>
      <c r="H45" s="798"/>
      <c r="I45" s="2680"/>
      <c r="J45" s="797"/>
      <c r="K45" s="2679"/>
      <c r="L45" s="796"/>
      <c r="M45" s="796"/>
      <c r="N45" s="796"/>
      <c r="O45" s="796"/>
    </row>
    <row r="46" spans="1:15" s="771" customFormat="1">
      <c r="A46" s="796"/>
      <c r="B46" s="796"/>
      <c r="C46" s="797"/>
      <c r="D46" s="797"/>
      <c r="E46" s="3651"/>
      <c r="F46" s="2632"/>
      <c r="G46" s="2632"/>
      <c r="H46" s="2632"/>
      <c r="I46" s="2632"/>
      <c r="J46" s="2632"/>
      <c r="K46" s="2632"/>
      <c r="L46" s="796"/>
      <c r="M46" s="796"/>
      <c r="N46" s="796"/>
      <c r="O46" s="796"/>
    </row>
    <row r="47" spans="1:15" s="771" customFormat="1">
      <c r="A47" s="796"/>
      <c r="B47" s="796"/>
      <c r="C47" s="797"/>
      <c r="D47" s="797"/>
      <c r="E47" s="3652"/>
      <c r="F47" s="797"/>
      <c r="G47" s="800"/>
      <c r="H47" s="796"/>
      <c r="I47" s="799"/>
      <c r="J47" s="797"/>
      <c r="K47" s="797"/>
      <c r="L47" s="796"/>
      <c r="M47" s="796"/>
      <c r="N47" s="796"/>
      <c r="O47" s="796"/>
    </row>
    <row r="48" spans="1:15" s="771" customFormat="1">
      <c r="A48" s="796"/>
      <c r="B48" s="796"/>
      <c r="C48" s="797"/>
      <c r="D48" s="797"/>
      <c r="E48" s="3652"/>
      <c r="F48" s="797"/>
      <c r="G48" s="797"/>
      <c r="H48" s="796"/>
      <c r="I48" s="799"/>
      <c r="J48" s="797"/>
      <c r="K48" s="797"/>
      <c r="L48" s="796"/>
      <c r="M48" s="796"/>
      <c r="N48" s="796"/>
      <c r="O48" s="796"/>
    </row>
    <row r="49" spans="1:15" s="771" customFormat="1">
      <c r="A49" s="796"/>
      <c r="B49" s="796"/>
      <c r="C49" s="797"/>
      <c r="D49" s="797"/>
      <c r="E49" s="3652"/>
      <c r="F49" s="797"/>
      <c r="G49" s="797"/>
      <c r="H49" s="796"/>
      <c r="I49" s="799"/>
      <c r="J49" s="797"/>
      <c r="K49" s="797"/>
      <c r="L49" s="796"/>
      <c r="M49" s="796"/>
      <c r="N49" s="796"/>
      <c r="O49" s="796"/>
    </row>
    <row r="50" spans="1:15" s="771" customFormat="1">
      <c r="A50" s="796"/>
      <c r="B50" s="796"/>
      <c r="C50" s="797"/>
      <c r="D50" s="797"/>
      <c r="E50" s="3652"/>
      <c r="F50" s="797"/>
      <c r="G50" s="797"/>
      <c r="H50" s="796"/>
      <c r="I50" s="799"/>
      <c r="J50" s="797"/>
      <c r="K50" s="797"/>
      <c r="L50" s="796"/>
      <c r="M50" s="796"/>
      <c r="N50" s="796"/>
      <c r="O50" s="796"/>
    </row>
    <row r="51" spans="1:15" s="771" customFormat="1">
      <c r="A51" s="769"/>
      <c r="B51" s="796"/>
      <c r="C51" s="797"/>
      <c r="D51" s="797"/>
      <c r="E51" s="3652"/>
      <c r="F51" s="797"/>
      <c r="G51" s="797"/>
      <c r="H51" s="796"/>
      <c r="I51" s="796"/>
      <c r="J51" s="797"/>
      <c r="K51" s="797"/>
      <c r="L51" s="796"/>
      <c r="M51" s="796"/>
      <c r="N51" s="796"/>
      <c r="O51" s="796"/>
    </row>
    <row r="52" spans="1:15" s="771" customFormat="1">
      <c r="A52" s="796"/>
      <c r="B52" s="796"/>
      <c r="C52" s="797"/>
      <c r="D52" s="797"/>
      <c r="E52" s="3652"/>
      <c r="F52" s="797"/>
      <c r="G52" s="797"/>
      <c r="H52" s="796"/>
      <c r="I52" s="796"/>
      <c r="J52" s="797"/>
      <c r="K52" s="797"/>
      <c r="L52" s="796"/>
      <c r="M52" s="796"/>
      <c r="N52" s="796"/>
      <c r="O52" s="796"/>
    </row>
    <row r="53" spans="1:15" s="771" customFormat="1">
      <c r="A53" s="796"/>
      <c r="B53" s="796"/>
      <c r="C53" s="797"/>
      <c r="D53" s="797"/>
      <c r="E53" s="3652"/>
      <c r="F53" s="797"/>
      <c r="G53" s="797"/>
      <c r="H53" s="796"/>
      <c r="I53" s="796"/>
      <c r="J53" s="797"/>
      <c r="K53" s="797"/>
      <c r="L53" s="796"/>
      <c r="M53" s="796"/>
      <c r="N53" s="796"/>
      <c r="O53" s="796"/>
    </row>
    <row r="54" spans="1:15" s="771" customFormat="1">
      <c r="A54" s="796"/>
      <c r="B54" s="796"/>
      <c r="C54" s="797"/>
      <c r="D54" s="797"/>
      <c r="E54" s="3652"/>
      <c r="F54" s="797"/>
      <c r="G54" s="797"/>
      <c r="H54" s="796"/>
      <c r="I54" s="796"/>
      <c r="J54" s="797"/>
      <c r="K54" s="797"/>
      <c r="L54" s="796"/>
      <c r="M54" s="796"/>
      <c r="N54" s="796"/>
      <c r="O54" s="796"/>
    </row>
    <row r="55" spans="1:15" s="771" customFormat="1">
      <c r="A55" s="796"/>
      <c r="B55" s="796"/>
      <c r="C55" s="797"/>
      <c r="D55" s="797"/>
      <c r="E55" s="3652"/>
      <c r="F55" s="797"/>
      <c r="G55" s="797"/>
      <c r="H55" s="796"/>
      <c r="I55" s="796"/>
      <c r="J55" s="797"/>
      <c r="K55" s="797"/>
      <c r="L55" s="796"/>
      <c r="M55" s="796"/>
      <c r="N55" s="796"/>
      <c r="O55" s="796"/>
    </row>
    <row r="56" spans="1:15" s="771" customFormat="1">
      <c r="A56" s="796"/>
      <c r="B56" s="796"/>
      <c r="C56" s="797"/>
      <c r="D56" s="797"/>
      <c r="E56" s="3652"/>
      <c r="F56" s="797"/>
      <c r="G56" s="797"/>
      <c r="H56" s="796"/>
      <c r="I56" s="796"/>
      <c r="J56" s="797"/>
      <c r="K56" s="797"/>
      <c r="L56" s="796"/>
      <c r="M56" s="796"/>
      <c r="N56" s="796"/>
      <c r="O56" s="796"/>
    </row>
    <row r="57" spans="1:15" s="771" customFormat="1">
      <c r="A57" s="796"/>
      <c r="B57" s="796"/>
      <c r="C57" s="797"/>
      <c r="D57" s="797"/>
      <c r="E57" s="3652"/>
      <c r="F57" s="797"/>
      <c r="G57" s="797"/>
      <c r="H57" s="796"/>
      <c r="I57" s="796"/>
      <c r="J57" s="797"/>
      <c r="K57" s="797"/>
      <c r="L57" s="796"/>
      <c r="M57" s="796"/>
      <c r="N57" s="796"/>
      <c r="O57" s="796"/>
    </row>
    <row r="58" spans="1:15" s="771" customFormat="1">
      <c r="A58" s="796"/>
      <c r="B58" s="796"/>
      <c r="C58" s="797"/>
      <c r="D58" s="797"/>
      <c r="E58" s="3652"/>
      <c r="F58" s="797"/>
      <c r="G58" s="797"/>
      <c r="H58" s="796"/>
      <c r="I58" s="796"/>
      <c r="J58" s="797"/>
      <c r="K58" s="797"/>
      <c r="L58" s="796"/>
      <c r="M58" s="796"/>
      <c r="N58" s="796"/>
      <c r="O58" s="796"/>
    </row>
    <row r="59" spans="1:15" s="771" customFormat="1">
      <c r="A59" s="796"/>
      <c r="B59" s="796"/>
      <c r="C59" s="797"/>
      <c r="D59" s="797"/>
      <c r="E59" s="3652"/>
      <c r="F59" s="797"/>
      <c r="G59" s="797"/>
      <c r="H59" s="796"/>
      <c r="I59" s="796"/>
      <c r="J59" s="797"/>
      <c r="K59" s="797"/>
      <c r="L59" s="796"/>
      <c r="M59" s="796"/>
      <c r="N59" s="796"/>
      <c r="O59" s="796"/>
    </row>
    <row r="60" spans="1:15" s="771" customFormat="1">
      <c r="A60" s="796"/>
      <c r="B60" s="796"/>
      <c r="C60" s="797"/>
      <c r="D60" s="797"/>
      <c r="E60" s="3652"/>
      <c r="F60" s="797"/>
      <c r="G60" s="797"/>
      <c r="H60" s="796"/>
      <c r="I60" s="796"/>
      <c r="J60" s="797"/>
      <c r="K60" s="797"/>
      <c r="L60" s="796"/>
      <c r="M60" s="796"/>
      <c r="N60" s="796"/>
      <c r="O60" s="796"/>
    </row>
    <row r="61" spans="1:15" s="771" customFormat="1">
      <c r="A61" s="796"/>
      <c r="B61" s="796"/>
      <c r="C61" s="797"/>
      <c r="D61" s="797"/>
      <c r="E61" s="3652"/>
      <c r="F61" s="797"/>
      <c r="G61" s="797"/>
      <c r="H61" s="796"/>
      <c r="I61" s="796"/>
      <c r="J61" s="797"/>
      <c r="K61" s="797"/>
      <c r="L61" s="796"/>
      <c r="M61" s="796"/>
      <c r="N61" s="796"/>
      <c r="O61" s="796"/>
    </row>
    <row r="62" spans="1:15" s="771" customFormat="1">
      <c r="A62" s="796"/>
      <c r="B62" s="796"/>
      <c r="C62" s="797"/>
      <c r="D62" s="797"/>
      <c r="E62" s="3652"/>
      <c r="F62" s="797"/>
      <c r="G62" s="797"/>
      <c r="H62" s="796"/>
      <c r="I62" s="796"/>
      <c r="J62" s="797"/>
      <c r="K62" s="797"/>
      <c r="L62" s="796"/>
      <c r="M62" s="796"/>
      <c r="N62" s="796"/>
      <c r="O62" s="796"/>
    </row>
    <row r="63" spans="1:15" s="771" customFormat="1">
      <c r="A63" s="796"/>
      <c r="B63" s="796"/>
      <c r="C63" s="797"/>
      <c r="D63" s="797"/>
      <c r="E63" s="3652"/>
      <c r="F63" s="797"/>
      <c r="G63" s="797"/>
      <c r="H63" s="796"/>
      <c r="I63" s="796"/>
      <c r="J63" s="797"/>
      <c r="K63" s="797"/>
      <c r="L63" s="796"/>
      <c r="M63" s="796"/>
      <c r="N63" s="796"/>
      <c r="O63" s="796"/>
    </row>
    <row r="64" spans="1:15" s="771" customFormat="1">
      <c r="A64" s="796"/>
      <c r="B64" s="796"/>
      <c r="C64" s="797"/>
      <c r="D64" s="797"/>
      <c r="E64" s="3652"/>
      <c r="F64" s="797"/>
      <c r="G64" s="797"/>
      <c r="H64" s="796"/>
      <c r="I64" s="796"/>
      <c r="J64" s="797"/>
      <c r="K64" s="797"/>
      <c r="L64" s="796"/>
      <c r="M64" s="796"/>
      <c r="N64" s="796"/>
      <c r="O64" s="796"/>
    </row>
    <row r="65" spans="1:15" s="771" customFormat="1">
      <c r="A65" s="796"/>
      <c r="B65" s="796"/>
      <c r="C65" s="797"/>
      <c r="D65" s="797"/>
      <c r="E65" s="3652"/>
      <c r="F65" s="797"/>
      <c r="G65" s="797"/>
      <c r="H65" s="796"/>
      <c r="I65" s="796"/>
      <c r="J65" s="797"/>
      <c r="K65" s="797"/>
      <c r="L65" s="796"/>
      <c r="M65" s="796"/>
      <c r="N65" s="796"/>
      <c r="O65" s="796"/>
    </row>
    <row r="66" spans="1:15" s="771" customFormat="1">
      <c r="A66" s="796"/>
      <c r="B66" s="796"/>
      <c r="C66" s="797"/>
      <c r="D66" s="797"/>
      <c r="E66" s="3652"/>
      <c r="F66" s="797"/>
      <c r="G66" s="797"/>
      <c r="H66" s="796"/>
      <c r="I66" s="796"/>
      <c r="J66" s="797"/>
      <c r="K66" s="797"/>
      <c r="L66" s="796"/>
      <c r="M66" s="796"/>
      <c r="N66" s="796"/>
      <c r="O66" s="796"/>
    </row>
    <row r="67" spans="1:15" s="771" customFormat="1">
      <c r="A67" s="796"/>
      <c r="B67" s="796"/>
      <c r="C67" s="797"/>
      <c r="D67" s="797"/>
      <c r="E67" s="3652"/>
      <c r="F67" s="797"/>
      <c r="G67" s="797"/>
      <c r="H67" s="796"/>
      <c r="I67" s="796"/>
      <c r="J67" s="797"/>
      <c r="K67" s="797"/>
      <c r="L67" s="796"/>
      <c r="M67" s="796"/>
      <c r="N67" s="796"/>
      <c r="O67" s="796"/>
    </row>
    <row r="68" spans="1:15" s="771" customFormat="1">
      <c r="A68" s="796"/>
      <c r="B68" s="796"/>
      <c r="C68" s="797"/>
      <c r="D68" s="797"/>
      <c r="E68" s="3652"/>
      <c r="F68" s="797"/>
      <c r="G68" s="797"/>
      <c r="H68" s="796"/>
      <c r="I68" s="796"/>
      <c r="J68" s="797"/>
      <c r="K68" s="797"/>
      <c r="L68" s="796"/>
      <c r="M68" s="796"/>
      <c r="N68" s="796"/>
      <c r="O68" s="796"/>
    </row>
    <row r="69" spans="1:15" s="771" customFormat="1">
      <c r="A69" s="796"/>
      <c r="B69" s="796"/>
      <c r="C69" s="797"/>
      <c r="D69" s="797"/>
      <c r="E69" s="3652"/>
      <c r="F69" s="797"/>
      <c r="G69" s="797"/>
      <c r="H69" s="796"/>
      <c r="I69" s="796"/>
      <c r="J69" s="797"/>
      <c r="K69" s="797"/>
      <c r="L69" s="796"/>
      <c r="M69" s="796"/>
      <c r="N69" s="796"/>
      <c r="O69" s="796"/>
    </row>
    <row r="70" spans="1:15" s="771" customFormat="1">
      <c r="A70" s="796"/>
      <c r="B70" s="796"/>
      <c r="C70" s="797"/>
      <c r="D70" s="797"/>
      <c r="E70" s="3652"/>
      <c r="F70" s="797"/>
      <c r="G70" s="797"/>
      <c r="H70" s="796"/>
      <c r="I70" s="796"/>
      <c r="J70" s="797"/>
      <c r="K70" s="797"/>
      <c r="L70" s="796"/>
      <c r="M70" s="796"/>
      <c r="N70" s="796"/>
      <c r="O70" s="796"/>
    </row>
    <row r="71" spans="1:15" s="771" customFormat="1">
      <c r="A71" s="796"/>
      <c r="B71" s="796"/>
      <c r="C71" s="797"/>
      <c r="D71" s="797"/>
      <c r="E71" s="3652"/>
      <c r="F71" s="797"/>
      <c r="G71" s="797"/>
      <c r="H71" s="796"/>
      <c r="I71" s="796"/>
      <c r="J71" s="797"/>
      <c r="K71" s="797"/>
      <c r="L71" s="796"/>
      <c r="M71" s="796"/>
      <c r="N71" s="796"/>
      <c r="O71" s="796"/>
    </row>
    <row r="72" spans="1:15" s="771" customFormat="1">
      <c r="A72" s="796"/>
      <c r="B72" s="796"/>
      <c r="C72" s="797"/>
      <c r="D72" s="797"/>
      <c r="E72" s="3652"/>
      <c r="F72" s="797"/>
      <c r="G72" s="797"/>
      <c r="H72" s="796"/>
      <c r="I72" s="796"/>
      <c r="J72" s="797"/>
      <c r="K72" s="797"/>
      <c r="L72" s="796"/>
      <c r="M72" s="796"/>
      <c r="N72" s="796"/>
      <c r="O72" s="796"/>
    </row>
    <row r="73" spans="1:15" s="771" customFormat="1">
      <c r="A73" s="796"/>
      <c r="B73" s="796"/>
      <c r="C73" s="797"/>
      <c r="D73" s="797"/>
      <c r="E73" s="3652"/>
      <c r="F73" s="797"/>
      <c r="G73" s="797"/>
      <c r="H73" s="796"/>
      <c r="I73" s="796"/>
      <c r="J73" s="797"/>
      <c r="K73" s="797"/>
      <c r="L73" s="796"/>
      <c r="M73" s="796"/>
      <c r="N73" s="796"/>
      <c r="O73" s="796"/>
    </row>
    <row r="74" spans="1:15" s="771" customFormat="1">
      <c r="A74" s="796"/>
      <c r="B74" s="796"/>
      <c r="C74" s="797"/>
      <c r="D74" s="797"/>
      <c r="E74" s="3652"/>
      <c r="F74" s="797"/>
      <c r="G74" s="797"/>
      <c r="H74" s="796"/>
      <c r="I74" s="796"/>
      <c r="J74" s="797"/>
      <c r="K74" s="797"/>
      <c r="L74" s="796"/>
      <c r="M74" s="796"/>
      <c r="N74" s="796"/>
      <c r="O74" s="796"/>
    </row>
    <row r="75" spans="1:15" s="771" customFormat="1">
      <c r="A75" s="796"/>
      <c r="B75" s="796"/>
      <c r="C75" s="797"/>
      <c r="D75" s="797"/>
      <c r="E75" s="3652"/>
      <c r="F75" s="797"/>
      <c r="G75" s="797"/>
      <c r="H75" s="796"/>
      <c r="I75" s="796"/>
      <c r="J75" s="797"/>
      <c r="K75" s="797"/>
      <c r="L75" s="796"/>
      <c r="M75" s="796"/>
      <c r="N75" s="796"/>
      <c r="O75" s="796"/>
    </row>
    <row r="76" spans="1:15" s="771" customFormat="1">
      <c r="A76" s="796"/>
      <c r="B76" s="796"/>
      <c r="C76" s="797"/>
      <c r="D76" s="797"/>
      <c r="E76" s="3652"/>
      <c r="F76" s="797"/>
      <c r="G76" s="797"/>
      <c r="H76" s="796"/>
      <c r="I76" s="796"/>
      <c r="J76" s="797"/>
      <c r="K76" s="797"/>
      <c r="L76" s="796"/>
      <c r="M76" s="796"/>
      <c r="N76" s="796"/>
      <c r="O76" s="796"/>
    </row>
    <row r="77" spans="1:15" s="771" customFormat="1">
      <c r="A77" s="796"/>
      <c r="B77" s="796"/>
      <c r="C77" s="797"/>
      <c r="D77" s="797"/>
      <c r="E77" s="3652"/>
      <c r="F77" s="797"/>
      <c r="G77" s="797"/>
      <c r="H77" s="796"/>
      <c r="I77" s="796"/>
      <c r="J77" s="797"/>
      <c r="K77" s="797"/>
      <c r="L77" s="796"/>
      <c r="M77" s="796"/>
      <c r="N77" s="796"/>
      <c r="O77" s="796"/>
    </row>
    <row r="78" spans="1:15" s="771" customFormat="1">
      <c r="A78" s="796"/>
      <c r="B78" s="796"/>
      <c r="C78" s="797"/>
      <c r="D78" s="797"/>
      <c r="E78" s="3652"/>
      <c r="F78" s="797"/>
      <c r="G78" s="797"/>
      <c r="H78" s="796"/>
      <c r="I78" s="796"/>
      <c r="J78" s="797"/>
      <c r="K78" s="797"/>
      <c r="L78" s="796"/>
      <c r="M78" s="796"/>
      <c r="N78" s="796"/>
      <c r="O78" s="796"/>
    </row>
    <row r="79" spans="1:15" s="771" customFormat="1">
      <c r="A79" s="796"/>
      <c r="B79" s="796"/>
      <c r="C79" s="797"/>
      <c r="D79" s="797"/>
      <c r="E79" s="3652"/>
      <c r="F79" s="797"/>
      <c r="G79" s="797"/>
      <c r="H79" s="796"/>
      <c r="I79" s="796"/>
      <c r="J79" s="797"/>
      <c r="K79" s="797"/>
      <c r="L79" s="796"/>
      <c r="M79" s="796"/>
      <c r="N79" s="796"/>
      <c r="O79" s="796"/>
    </row>
    <row r="80" spans="1:15" s="771" customFormat="1">
      <c r="A80" s="796"/>
      <c r="B80" s="796"/>
      <c r="C80" s="797"/>
      <c r="D80" s="797"/>
      <c r="E80" s="3652"/>
      <c r="F80" s="797"/>
      <c r="G80" s="797"/>
      <c r="H80" s="796"/>
      <c r="I80" s="796"/>
      <c r="J80" s="797"/>
      <c r="K80" s="797"/>
      <c r="L80" s="796"/>
      <c r="M80" s="796"/>
      <c r="N80" s="796"/>
      <c r="O80" s="796"/>
    </row>
    <row r="81" spans="1:15" s="771" customFormat="1">
      <c r="A81" s="796"/>
      <c r="B81" s="796"/>
      <c r="C81" s="797"/>
      <c r="D81" s="797"/>
      <c r="E81" s="3652"/>
      <c r="F81" s="797"/>
      <c r="G81" s="797"/>
      <c r="H81" s="796"/>
      <c r="I81" s="796"/>
      <c r="J81" s="797"/>
      <c r="K81" s="797"/>
      <c r="L81" s="796"/>
      <c r="M81" s="796"/>
      <c r="N81" s="796"/>
      <c r="O81" s="796"/>
    </row>
    <row r="82" spans="1:15" s="771" customFormat="1">
      <c r="A82" s="796"/>
      <c r="B82" s="796"/>
      <c r="C82" s="797"/>
      <c r="D82" s="797"/>
      <c r="E82" s="3652"/>
      <c r="F82" s="797"/>
      <c r="G82" s="797"/>
      <c r="H82" s="796"/>
      <c r="I82" s="796"/>
      <c r="J82" s="797"/>
      <c r="K82" s="797"/>
      <c r="L82" s="796"/>
      <c r="M82" s="796"/>
      <c r="N82" s="796"/>
      <c r="O82" s="796"/>
    </row>
    <row r="83" spans="1:15" s="771" customFormat="1">
      <c r="A83" s="796"/>
      <c r="B83" s="796"/>
      <c r="C83" s="797"/>
      <c r="D83" s="797"/>
      <c r="E83" s="3652"/>
      <c r="F83" s="797"/>
      <c r="G83" s="797"/>
      <c r="H83" s="796"/>
      <c r="I83" s="796"/>
      <c r="J83" s="797"/>
      <c r="K83" s="797"/>
      <c r="L83" s="796"/>
      <c r="M83" s="796"/>
      <c r="N83" s="796"/>
      <c r="O83" s="796"/>
    </row>
    <row r="84" spans="1:15" s="771" customFormat="1">
      <c r="A84" s="796"/>
      <c r="B84" s="796"/>
      <c r="C84" s="797"/>
      <c r="D84" s="797"/>
      <c r="E84" s="3652"/>
      <c r="F84" s="797"/>
      <c r="G84" s="797"/>
      <c r="H84" s="796"/>
      <c r="I84" s="796"/>
      <c r="J84" s="797"/>
      <c r="K84" s="797"/>
      <c r="L84" s="796"/>
      <c r="M84" s="796"/>
      <c r="N84" s="796"/>
      <c r="O84" s="796"/>
    </row>
    <row r="85" spans="1:15" s="771" customFormat="1">
      <c r="A85" s="796"/>
      <c r="B85" s="796"/>
      <c r="C85" s="797"/>
      <c r="D85" s="797"/>
      <c r="E85" s="3652"/>
      <c r="F85" s="797"/>
      <c r="G85" s="797"/>
      <c r="H85" s="796"/>
      <c r="I85" s="796"/>
      <c r="J85" s="797"/>
      <c r="K85" s="797"/>
      <c r="L85" s="796"/>
      <c r="M85" s="796"/>
      <c r="N85" s="796"/>
      <c r="O85" s="796"/>
    </row>
    <row r="86" spans="1:15" s="771" customFormat="1">
      <c r="A86" s="796"/>
      <c r="B86" s="796"/>
      <c r="C86" s="797"/>
      <c r="D86" s="797"/>
      <c r="E86" s="3652"/>
      <c r="F86" s="797"/>
      <c r="G86" s="797"/>
      <c r="H86" s="796"/>
      <c r="I86" s="796"/>
      <c r="J86" s="797"/>
      <c r="K86" s="797"/>
      <c r="L86" s="796"/>
      <c r="M86" s="796"/>
      <c r="N86" s="796"/>
      <c r="O86" s="796"/>
    </row>
    <row r="87" spans="1:15" s="771" customFormat="1">
      <c r="A87" s="796"/>
      <c r="B87" s="796"/>
      <c r="C87" s="797"/>
      <c r="D87" s="797"/>
      <c r="E87" s="3652"/>
      <c r="F87" s="797"/>
      <c r="G87" s="797"/>
      <c r="H87" s="796"/>
      <c r="I87" s="796"/>
      <c r="J87" s="797"/>
      <c r="K87" s="797"/>
      <c r="L87" s="796"/>
      <c r="M87" s="796"/>
      <c r="N87" s="796"/>
      <c r="O87" s="796"/>
    </row>
    <row r="88" spans="1:15" s="771" customFormat="1">
      <c r="A88" s="796"/>
      <c r="B88" s="796"/>
      <c r="C88" s="797"/>
      <c r="D88" s="797"/>
      <c r="E88" s="3652"/>
      <c r="F88" s="797"/>
      <c r="G88" s="797"/>
      <c r="H88" s="796"/>
      <c r="I88" s="796"/>
      <c r="J88" s="797"/>
      <c r="K88" s="797"/>
      <c r="L88" s="796"/>
      <c r="M88" s="796"/>
      <c r="N88" s="796"/>
      <c r="O88" s="796"/>
    </row>
    <row r="89" spans="1:15" s="771" customFormat="1">
      <c r="A89" s="796"/>
      <c r="B89" s="796"/>
      <c r="C89" s="797"/>
      <c r="D89" s="797"/>
      <c r="E89" s="3652"/>
      <c r="F89" s="797"/>
      <c r="G89" s="797"/>
      <c r="H89" s="796"/>
      <c r="I89" s="796"/>
      <c r="J89" s="797"/>
      <c r="K89" s="797"/>
      <c r="L89" s="796"/>
      <c r="M89" s="796"/>
      <c r="N89" s="796"/>
      <c r="O89" s="796"/>
    </row>
    <row r="90" spans="1:15" s="771" customFormat="1">
      <c r="A90" s="796"/>
      <c r="B90" s="796"/>
      <c r="C90" s="797"/>
      <c r="D90" s="797"/>
      <c r="E90" s="3652"/>
      <c r="F90" s="797"/>
      <c r="G90" s="797"/>
      <c r="H90" s="796"/>
      <c r="I90" s="796"/>
      <c r="J90" s="797"/>
      <c r="K90" s="797"/>
      <c r="L90" s="796"/>
      <c r="M90" s="796"/>
      <c r="N90" s="796"/>
      <c r="O90" s="796"/>
    </row>
    <row r="91" spans="1:15" s="771" customFormat="1">
      <c r="A91" s="796"/>
      <c r="B91" s="796"/>
      <c r="C91" s="797"/>
      <c r="D91" s="797"/>
      <c r="E91" s="3652"/>
      <c r="F91" s="797"/>
      <c r="G91" s="797"/>
      <c r="H91" s="796"/>
      <c r="I91" s="796"/>
      <c r="J91" s="797"/>
      <c r="K91" s="797"/>
      <c r="L91" s="796"/>
      <c r="M91" s="796"/>
      <c r="N91" s="796"/>
      <c r="O91" s="796"/>
    </row>
    <row r="92" spans="1:15" s="771" customFormat="1">
      <c r="A92" s="796"/>
      <c r="B92" s="796"/>
      <c r="C92" s="797"/>
      <c r="D92" s="797"/>
      <c r="E92" s="3652"/>
      <c r="F92" s="797"/>
      <c r="G92" s="797"/>
      <c r="H92" s="796"/>
      <c r="I92" s="796"/>
      <c r="J92" s="797"/>
      <c r="K92" s="797"/>
      <c r="L92" s="796"/>
      <c r="M92" s="796"/>
      <c r="N92" s="796"/>
      <c r="O92" s="796"/>
    </row>
    <row r="93" spans="1:15" s="771" customFormat="1">
      <c r="A93" s="796"/>
      <c r="B93" s="796"/>
      <c r="C93" s="797"/>
      <c r="D93" s="797"/>
      <c r="E93" s="3652"/>
      <c r="F93" s="797"/>
      <c r="G93" s="797"/>
      <c r="H93" s="796"/>
      <c r="I93" s="796"/>
      <c r="J93" s="797"/>
      <c r="K93" s="797"/>
      <c r="L93" s="796"/>
      <c r="M93" s="796"/>
      <c r="N93" s="796"/>
      <c r="O93" s="796"/>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1"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70" zoomScaleNormal="70" workbookViewId="0"/>
  </sheetViews>
  <sheetFormatPr defaultColWidth="8.88671875" defaultRowHeight="12.75"/>
  <cols>
    <col min="1" max="1" width="56.109375" style="801" customWidth="1"/>
    <col min="2" max="2" width="5.88671875" style="801" customWidth="1"/>
    <col min="3" max="3" width="9.77734375" style="801" customWidth="1"/>
    <col min="4" max="4" width="21.33203125" style="801" customWidth="1"/>
    <col min="5" max="5" width="1.77734375" style="801" customWidth="1"/>
    <col min="6" max="6" width="16.88671875" style="801" customWidth="1"/>
    <col min="7" max="7" width="2.33203125" style="801" customWidth="1"/>
    <col min="8" max="8" width="19.21875" style="801" customWidth="1"/>
    <col min="9" max="9" width="1.6640625" style="801" customWidth="1"/>
    <col min="10" max="10" width="20.77734375" style="801" customWidth="1"/>
    <col min="11" max="11" width="2.109375" style="801" customWidth="1"/>
    <col min="12" max="12" width="22.44140625" style="801" customWidth="1"/>
    <col min="13" max="13" width="2.44140625" style="801" customWidth="1"/>
    <col min="14" max="14" width="10.77734375" style="801" bestFit="1" customWidth="1"/>
    <col min="15" max="15" width="12.5546875" style="801" bestFit="1" customWidth="1"/>
    <col min="16" max="16384" width="8.88671875" style="801"/>
  </cols>
  <sheetData>
    <row r="1" spans="1:256" ht="15">
      <c r="A1" s="1052" t="s">
        <v>1064</v>
      </c>
    </row>
    <row r="2" spans="1:256" ht="18" customHeight="1"/>
    <row r="3" spans="1:256" ht="18">
      <c r="A3" s="802" t="s">
        <v>0</v>
      </c>
      <c r="B3" s="803"/>
      <c r="C3" s="803"/>
      <c r="D3" s="804"/>
      <c r="E3" s="804"/>
      <c r="F3" s="803"/>
      <c r="G3" s="803" t="s">
        <v>15</v>
      </c>
      <c r="H3" s="803"/>
      <c r="I3" s="803"/>
      <c r="J3" s="803"/>
      <c r="K3" s="803"/>
      <c r="L3" s="805" t="s">
        <v>376</v>
      </c>
      <c r="M3" s="804"/>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c r="AX3" s="806"/>
      <c r="AY3" s="806"/>
      <c r="AZ3" s="806"/>
      <c r="BA3" s="806"/>
      <c r="BB3" s="806"/>
      <c r="BC3" s="806"/>
      <c r="BD3" s="806"/>
      <c r="BE3" s="806"/>
      <c r="BF3" s="806"/>
      <c r="BG3" s="806"/>
      <c r="BH3" s="806"/>
      <c r="BI3" s="806"/>
      <c r="BJ3" s="806"/>
      <c r="BK3" s="806"/>
      <c r="BL3" s="806"/>
      <c r="BM3" s="806"/>
      <c r="BN3" s="806"/>
      <c r="BO3" s="806"/>
      <c r="BP3" s="806"/>
      <c r="BQ3" s="806"/>
      <c r="BR3" s="806"/>
      <c r="BS3" s="806"/>
      <c r="BT3" s="806"/>
      <c r="BU3" s="806"/>
      <c r="BV3" s="806"/>
      <c r="BW3" s="806"/>
      <c r="BX3" s="806"/>
      <c r="BY3" s="806"/>
      <c r="BZ3" s="806"/>
      <c r="CA3" s="806"/>
      <c r="CB3" s="806"/>
      <c r="CC3" s="806"/>
      <c r="CD3" s="806"/>
      <c r="CE3" s="806"/>
      <c r="CF3" s="806"/>
      <c r="CG3" s="806"/>
      <c r="CH3" s="806"/>
      <c r="CI3" s="806"/>
      <c r="CJ3" s="806"/>
      <c r="CK3" s="806"/>
      <c r="CL3" s="806"/>
      <c r="CM3" s="806"/>
      <c r="CN3" s="806"/>
      <c r="CO3" s="806"/>
      <c r="CP3" s="806"/>
      <c r="CQ3" s="806"/>
      <c r="CR3" s="806"/>
      <c r="CS3" s="806"/>
      <c r="CT3" s="806"/>
      <c r="CU3" s="806"/>
      <c r="CV3" s="806"/>
      <c r="CW3" s="806"/>
      <c r="CX3" s="806"/>
      <c r="CY3" s="806"/>
      <c r="CZ3" s="806"/>
      <c r="DA3" s="806"/>
      <c r="DB3" s="806"/>
      <c r="DC3" s="806"/>
      <c r="DD3" s="806"/>
      <c r="DE3" s="806"/>
      <c r="DF3" s="806"/>
      <c r="DG3" s="806"/>
      <c r="DH3" s="806"/>
      <c r="DI3" s="806"/>
      <c r="DJ3" s="806"/>
      <c r="DK3" s="806"/>
      <c r="DL3" s="806"/>
      <c r="DM3" s="806"/>
      <c r="DN3" s="806"/>
      <c r="DO3" s="806"/>
      <c r="DP3" s="806"/>
      <c r="DQ3" s="806"/>
      <c r="DR3" s="806"/>
      <c r="DS3" s="806"/>
      <c r="DT3" s="806"/>
      <c r="DU3" s="806"/>
      <c r="DV3" s="806"/>
      <c r="DW3" s="806"/>
      <c r="DX3" s="806"/>
      <c r="DY3" s="806"/>
      <c r="DZ3" s="806"/>
      <c r="EA3" s="806"/>
      <c r="EB3" s="806"/>
      <c r="EC3" s="806"/>
      <c r="ED3" s="806"/>
      <c r="EE3" s="806"/>
      <c r="EF3" s="806"/>
      <c r="EG3" s="806"/>
      <c r="EH3" s="806"/>
      <c r="EI3" s="806"/>
      <c r="EJ3" s="806"/>
      <c r="EK3" s="806"/>
      <c r="EL3" s="806"/>
      <c r="EM3" s="806"/>
      <c r="EN3" s="806"/>
      <c r="EO3" s="806"/>
      <c r="EP3" s="806"/>
      <c r="EQ3" s="806"/>
      <c r="ER3" s="806"/>
      <c r="ES3" s="806"/>
      <c r="ET3" s="806"/>
      <c r="EU3" s="806"/>
      <c r="EV3" s="806"/>
      <c r="EW3" s="806"/>
      <c r="EX3" s="806"/>
      <c r="EY3" s="806"/>
      <c r="EZ3" s="806"/>
      <c r="FA3" s="806"/>
      <c r="FB3" s="806"/>
      <c r="FC3" s="806"/>
      <c r="FD3" s="806"/>
      <c r="FE3" s="806"/>
      <c r="FF3" s="806"/>
      <c r="FG3" s="806"/>
      <c r="FH3" s="806"/>
      <c r="FI3" s="806"/>
      <c r="FJ3" s="806"/>
      <c r="FK3" s="806"/>
      <c r="FL3" s="806"/>
      <c r="FM3" s="806"/>
      <c r="FN3" s="806"/>
      <c r="FO3" s="806"/>
      <c r="FP3" s="806"/>
      <c r="FQ3" s="806"/>
      <c r="FR3" s="806"/>
      <c r="FS3" s="806"/>
      <c r="FT3" s="806"/>
      <c r="FU3" s="806"/>
      <c r="FV3" s="806"/>
      <c r="FW3" s="806"/>
      <c r="FX3" s="806"/>
      <c r="FY3" s="806"/>
      <c r="FZ3" s="806"/>
      <c r="GA3" s="806"/>
      <c r="GB3" s="806"/>
      <c r="GC3" s="806"/>
      <c r="GD3" s="806"/>
      <c r="GE3" s="806"/>
      <c r="GF3" s="806"/>
      <c r="GG3" s="806"/>
      <c r="GH3" s="806"/>
      <c r="GI3" s="806"/>
      <c r="GJ3" s="806"/>
      <c r="GK3" s="806"/>
      <c r="GL3" s="806"/>
      <c r="GM3" s="806"/>
      <c r="GN3" s="806"/>
      <c r="GO3" s="806"/>
      <c r="GP3" s="806"/>
      <c r="GQ3" s="806"/>
      <c r="GR3" s="806"/>
      <c r="GS3" s="806"/>
      <c r="GT3" s="806"/>
      <c r="GU3" s="806"/>
      <c r="GV3" s="806"/>
      <c r="GW3" s="806"/>
      <c r="GX3" s="806"/>
      <c r="GY3" s="806"/>
      <c r="GZ3" s="806"/>
      <c r="HA3" s="806"/>
      <c r="HB3" s="806"/>
      <c r="HC3" s="806"/>
      <c r="HD3" s="806"/>
      <c r="HE3" s="806"/>
      <c r="HF3" s="806"/>
      <c r="HG3" s="806"/>
      <c r="HH3" s="806"/>
      <c r="HI3" s="806"/>
      <c r="HJ3" s="806"/>
      <c r="HK3" s="806"/>
      <c r="HL3" s="806"/>
      <c r="HM3" s="806"/>
      <c r="HN3" s="806"/>
      <c r="HO3" s="806"/>
      <c r="HP3" s="806"/>
      <c r="HQ3" s="806"/>
      <c r="HR3" s="806"/>
      <c r="HS3" s="806"/>
      <c r="HT3" s="806"/>
      <c r="HU3" s="806"/>
      <c r="HV3" s="806"/>
      <c r="HW3" s="806"/>
      <c r="HX3" s="806"/>
      <c r="HY3" s="806"/>
      <c r="HZ3" s="806"/>
      <c r="IA3" s="806"/>
      <c r="IB3" s="806"/>
      <c r="IC3" s="806"/>
      <c r="ID3" s="806"/>
      <c r="IE3" s="806"/>
      <c r="IF3" s="806"/>
      <c r="IG3" s="806"/>
      <c r="IH3" s="806"/>
      <c r="II3" s="806"/>
      <c r="IJ3" s="806"/>
      <c r="IK3" s="806"/>
      <c r="IL3" s="806"/>
      <c r="IM3" s="806"/>
      <c r="IN3" s="806"/>
      <c r="IO3" s="806"/>
      <c r="IP3" s="806"/>
      <c r="IQ3" s="806"/>
      <c r="IR3" s="806"/>
      <c r="IS3" s="806"/>
      <c r="IT3" s="806"/>
      <c r="IU3" s="806"/>
      <c r="IV3" s="806"/>
    </row>
    <row r="4" spans="1:256" ht="18">
      <c r="A4" s="802" t="s">
        <v>377</v>
      </c>
      <c r="B4" s="803"/>
      <c r="C4" s="803"/>
      <c r="D4" s="804"/>
      <c r="E4" s="804"/>
      <c r="F4" s="803"/>
      <c r="G4" s="803"/>
      <c r="H4" s="803"/>
      <c r="I4" s="803"/>
      <c r="J4" s="803"/>
      <c r="K4" s="803"/>
      <c r="L4" s="807"/>
      <c r="M4" s="804"/>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806"/>
      <c r="BQ4" s="806"/>
      <c r="BR4" s="806"/>
      <c r="BS4" s="806"/>
      <c r="BT4" s="806"/>
      <c r="BU4" s="806"/>
      <c r="BV4" s="806"/>
      <c r="BW4" s="806"/>
      <c r="BX4" s="806"/>
      <c r="BY4" s="806"/>
      <c r="BZ4" s="806"/>
      <c r="CA4" s="806"/>
      <c r="CB4" s="806"/>
      <c r="CC4" s="806"/>
      <c r="CD4" s="806"/>
      <c r="CE4" s="806"/>
      <c r="CF4" s="806"/>
      <c r="CG4" s="806"/>
      <c r="CH4" s="806"/>
      <c r="CI4" s="806"/>
      <c r="CJ4" s="806"/>
      <c r="CK4" s="806"/>
      <c r="CL4" s="806"/>
      <c r="CM4" s="806"/>
      <c r="CN4" s="806"/>
      <c r="CO4" s="806"/>
      <c r="CP4" s="806"/>
      <c r="CQ4" s="806"/>
      <c r="CR4" s="806"/>
      <c r="CS4" s="806"/>
      <c r="CT4" s="806"/>
      <c r="CU4" s="806"/>
      <c r="CV4" s="806"/>
      <c r="CW4" s="806"/>
      <c r="CX4" s="806"/>
      <c r="CY4" s="806"/>
      <c r="CZ4" s="806"/>
      <c r="DA4" s="806"/>
      <c r="DB4" s="806"/>
      <c r="DC4" s="806"/>
      <c r="DD4" s="806"/>
      <c r="DE4" s="806"/>
      <c r="DF4" s="806"/>
      <c r="DG4" s="806"/>
      <c r="DH4" s="806"/>
      <c r="DI4" s="806"/>
      <c r="DJ4" s="806"/>
      <c r="DK4" s="806"/>
      <c r="DL4" s="806"/>
      <c r="DM4" s="806"/>
      <c r="DN4" s="806"/>
      <c r="DO4" s="806"/>
      <c r="DP4" s="806"/>
      <c r="DQ4" s="806"/>
      <c r="DR4" s="806"/>
      <c r="DS4" s="806"/>
      <c r="DT4" s="806"/>
      <c r="DU4" s="806"/>
      <c r="DV4" s="806"/>
      <c r="DW4" s="806"/>
      <c r="DX4" s="806"/>
      <c r="DY4" s="806"/>
      <c r="DZ4" s="806"/>
      <c r="EA4" s="806"/>
      <c r="EB4" s="806"/>
      <c r="EC4" s="806"/>
      <c r="ED4" s="806"/>
      <c r="EE4" s="806"/>
      <c r="EF4" s="806"/>
      <c r="EG4" s="806"/>
      <c r="EH4" s="806"/>
      <c r="EI4" s="806"/>
      <c r="EJ4" s="806"/>
      <c r="EK4" s="806"/>
      <c r="EL4" s="806"/>
      <c r="EM4" s="806"/>
      <c r="EN4" s="806"/>
      <c r="EO4" s="806"/>
      <c r="EP4" s="806"/>
      <c r="EQ4" s="806"/>
      <c r="ER4" s="806"/>
      <c r="ES4" s="806"/>
      <c r="ET4" s="806"/>
      <c r="EU4" s="806"/>
      <c r="EV4" s="806"/>
      <c r="EW4" s="806"/>
      <c r="EX4" s="806"/>
      <c r="EY4" s="806"/>
      <c r="EZ4" s="806"/>
      <c r="FA4" s="806"/>
      <c r="FB4" s="806"/>
      <c r="FC4" s="806"/>
      <c r="FD4" s="806"/>
      <c r="FE4" s="806"/>
      <c r="FF4" s="806"/>
      <c r="FG4" s="806"/>
      <c r="FH4" s="806"/>
      <c r="FI4" s="806"/>
      <c r="FJ4" s="806"/>
      <c r="FK4" s="806"/>
      <c r="FL4" s="806"/>
      <c r="FM4" s="806"/>
      <c r="FN4" s="806"/>
      <c r="FO4" s="806"/>
      <c r="FP4" s="806"/>
      <c r="FQ4" s="806"/>
      <c r="FR4" s="806"/>
      <c r="FS4" s="806"/>
      <c r="FT4" s="806"/>
      <c r="FU4" s="806"/>
      <c r="FV4" s="806"/>
      <c r="FW4" s="806"/>
      <c r="FX4" s="806"/>
      <c r="FY4" s="806"/>
      <c r="FZ4" s="806"/>
      <c r="GA4" s="806"/>
      <c r="GB4" s="806"/>
      <c r="GC4" s="806"/>
      <c r="GD4" s="806"/>
      <c r="GE4" s="806"/>
      <c r="GF4" s="806"/>
      <c r="GG4" s="806"/>
      <c r="GH4" s="806"/>
      <c r="GI4" s="806"/>
      <c r="GJ4" s="806"/>
      <c r="GK4" s="806"/>
      <c r="GL4" s="806"/>
      <c r="GM4" s="806"/>
      <c r="GN4" s="806"/>
      <c r="GO4" s="806"/>
      <c r="GP4" s="806"/>
      <c r="GQ4" s="806"/>
      <c r="GR4" s="806"/>
      <c r="GS4" s="806"/>
      <c r="GT4" s="806"/>
      <c r="GU4" s="806"/>
      <c r="GV4" s="806"/>
      <c r="GW4" s="806"/>
      <c r="GX4" s="806"/>
      <c r="GY4" s="806"/>
      <c r="GZ4" s="806"/>
      <c r="HA4" s="806"/>
      <c r="HB4" s="806"/>
      <c r="HC4" s="806"/>
      <c r="HD4" s="806"/>
      <c r="HE4" s="806"/>
      <c r="HF4" s="806"/>
      <c r="HG4" s="806"/>
      <c r="HH4" s="806"/>
      <c r="HI4" s="806"/>
      <c r="HJ4" s="806"/>
      <c r="HK4" s="806"/>
      <c r="HL4" s="806"/>
      <c r="HM4" s="806"/>
      <c r="HN4" s="806"/>
      <c r="HO4" s="806"/>
      <c r="HP4" s="806"/>
      <c r="HQ4" s="806"/>
      <c r="HR4" s="806"/>
      <c r="HS4" s="806"/>
      <c r="HT4" s="806"/>
      <c r="HU4" s="806"/>
      <c r="HV4" s="806"/>
      <c r="HW4" s="806"/>
      <c r="HX4" s="806"/>
      <c r="HY4" s="806"/>
      <c r="HZ4" s="806"/>
      <c r="IA4" s="806"/>
      <c r="IB4" s="806"/>
      <c r="IC4" s="806"/>
      <c r="ID4" s="806"/>
      <c r="IE4" s="806"/>
      <c r="IF4" s="806"/>
      <c r="IG4" s="806"/>
      <c r="IH4" s="806"/>
      <c r="II4" s="806"/>
      <c r="IJ4" s="806"/>
      <c r="IK4" s="806"/>
      <c r="IL4" s="806"/>
      <c r="IM4" s="806"/>
      <c r="IN4" s="806"/>
      <c r="IO4" s="806"/>
      <c r="IP4" s="806"/>
      <c r="IQ4" s="806"/>
      <c r="IR4" s="806"/>
      <c r="IS4" s="806"/>
      <c r="IT4" s="806"/>
      <c r="IU4" s="806"/>
      <c r="IV4" s="806"/>
    </row>
    <row r="5" spans="1:256" ht="18">
      <c r="A5" s="808" t="s">
        <v>1426</v>
      </c>
      <c r="B5" s="803"/>
      <c r="C5" s="803"/>
      <c r="D5" s="804"/>
      <c r="E5" s="804"/>
      <c r="F5" s="803"/>
      <c r="G5" s="803"/>
      <c r="H5" s="803"/>
      <c r="I5" s="803"/>
      <c r="J5" s="803"/>
      <c r="K5" s="803"/>
      <c r="L5" s="803"/>
      <c r="M5" s="804"/>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6"/>
      <c r="AP5" s="806"/>
      <c r="AQ5" s="806"/>
      <c r="AR5" s="806"/>
      <c r="AS5" s="806"/>
      <c r="AT5" s="806"/>
      <c r="AU5" s="806"/>
      <c r="AV5" s="806"/>
      <c r="AW5" s="806"/>
      <c r="AX5" s="806"/>
      <c r="AY5" s="806"/>
      <c r="AZ5" s="806"/>
      <c r="BA5" s="806"/>
      <c r="BB5" s="806"/>
      <c r="BC5" s="806"/>
      <c r="BD5" s="806"/>
      <c r="BE5" s="806"/>
      <c r="BF5" s="806"/>
      <c r="BG5" s="806"/>
      <c r="BH5" s="806"/>
      <c r="BI5" s="806"/>
      <c r="BJ5" s="806"/>
      <c r="BK5" s="806"/>
      <c r="BL5" s="806"/>
      <c r="BM5" s="806"/>
      <c r="BN5" s="806"/>
      <c r="BO5" s="806"/>
      <c r="BP5" s="806"/>
      <c r="BQ5" s="806"/>
      <c r="BR5" s="806"/>
      <c r="BS5" s="806"/>
      <c r="BT5" s="806"/>
      <c r="BU5" s="806"/>
      <c r="BV5" s="806"/>
      <c r="BW5" s="806"/>
      <c r="BX5" s="806"/>
      <c r="BY5" s="806"/>
      <c r="BZ5" s="806"/>
      <c r="CA5" s="806"/>
      <c r="CB5" s="806"/>
      <c r="CC5" s="806"/>
      <c r="CD5" s="806"/>
      <c r="CE5" s="806"/>
      <c r="CF5" s="806"/>
      <c r="CG5" s="806"/>
      <c r="CH5" s="806"/>
      <c r="CI5" s="806"/>
      <c r="CJ5" s="806"/>
      <c r="CK5" s="806"/>
      <c r="CL5" s="806"/>
      <c r="CM5" s="806"/>
      <c r="CN5" s="806"/>
      <c r="CO5" s="806"/>
      <c r="CP5" s="806"/>
      <c r="CQ5" s="806"/>
      <c r="CR5" s="806"/>
      <c r="CS5" s="806"/>
      <c r="CT5" s="806"/>
      <c r="CU5" s="806"/>
      <c r="CV5" s="806"/>
      <c r="CW5" s="806"/>
      <c r="CX5" s="806"/>
      <c r="CY5" s="806"/>
      <c r="CZ5" s="806"/>
      <c r="DA5" s="806"/>
      <c r="DB5" s="806"/>
      <c r="DC5" s="806"/>
      <c r="DD5" s="806"/>
      <c r="DE5" s="806"/>
      <c r="DF5" s="806"/>
      <c r="DG5" s="806"/>
      <c r="DH5" s="806"/>
      <c r="DI5" s="806"/>
      <c r="DJ5" s="806"/>
      <c r="DK5" s="806"/>
      <c r="DL5" s="806"/>
      <c r="DM5" s="806"/>
      <c r="DN5" s="806"/>
      <c r="DO5" s="806"/>
      <c r="DP5" s="806"/>
      <c r="DQ5" s="806"/>
      <c r="DR5" s="806"/>
      <c r="DS5" s="806"/>
      <c r="DT5" s="806"/>
      <c r="DU5" s="806"/>
      <c r="DV5" s="806"/>
      <c r="DW5" s="806"/>
      <c r="DX5" s="806"/>
      <c r="DY5" s="806"/>
      <c r="DZ5" s="806"/>
      <c r="EA5" s="806"/>
      <c r="EB5" s="806"/>
      <c r="EC5" s="806"/>
      <c r="ED5" s="806"/>
      <c r="EE5" s="806"/>
      <c r="EF5" s="806"/>
      <c r="EG5" s="806"/>
      <c r="EH5" s="806"/>
      <c r="EI5" s="806"/>
      <c r="EJ5" s="806"/>
      <c r="EK5" s="806"/>
      <c r="EL5" s="806"/>
      <c r="EM5" s="806"/>
      <c r="EN5" s="806"/>
      <c r="EO5" s="806"/>
      <c r="EP5" s="806"/>
      <c r="EQ5" s="806"/>
      <c r="ER5" s="806"/>
      <c r="ES5" s="806"/>
      <c r="ET5" s="806"/>
      <c r="EU5" s="806"/>
      <c r="EV5" s="806"/>
      <c r="EW5" s="806"/>
      <c r="EX5" s="806"/>
      <c r="EY5" s="806"/>
      <c r="EZ5" s="806"/>
      <c r="FA5" s="806"/>
      <c r="FB5" s="806"/>
      <c r="FC5" s="806"/>
      <c r="FD5" s="806"/>
      <c r="FE5" s="806"/>
      <c r="FF5" s="806"/>
      <c r="FG5" s="806"/>
      <c r="FH5" s="806"/>
      <c r="FI5" s="806"/>
      <c r="FJ5" s="806"/>
      <c r="FK5" s="806"/>
      <c r="FL5" s="806"/>
      <c r="FM5" s="806"/>
      <c r="FN5" s="806"/>
      <c r="FO5" s="806"/>
      <c r="FP5" s="806"/>
      <c r="FQ5" s="806"/>
      <c r="FR5" s="806"/>
      <c r="FS5" s="806"/>
      <c r="FT5" s="806"/>
      <c r="FU5" s="806"/>
      <c r="FV5" s="806"/>
      <c r="FW5" s="806"/>
      <c r="FX5" s="806"/>
      <c r="FY5" s="806"/>
      <c r="FZ5" s="806"/>
      <c r="GA5" s="806"/>
      <c r="GB5" s="806"/>
      <c r="GC5" s="806"/>
      <c r="GD5" s="806"/>
      <c r="GE5" s="806"/>
      <c r="GF5" s="806"/>
      <c r="GG5" s="806"/>
      <c r="GH5" s="806"/>
      <c r="GI5" s="806"/>
      <c r="GJ5" s="806"/>
      <c r="GK5" s="806"/>
      <c r="GL5" s="806"/>
      <c r="GM5" s="806"/>
      <c r="GN5" s="806"/>
      <c r="GO5" s="806"/>
      <c r="GP5" s="806"/>
      <c r="GQ5" s="806"/>
      <c r="GR5" s="806"/>
      <c r="GS5" s="806"/>
      <c r="GT5" s="806"/>
      <c r="GU5" s="806"/>
      <c r="GV5" s="806"/>
      <c r="GW5" s="806"/>
      <c r="GX5" s="806"/>
      <c r="GY5" s="806"/>
      <c r="GZ5" s="806"/>
      <c r="HA5" s="806"/>
      <c r="HB5" s="806"/>
      <c r="HC5" s="806"/>
      <c r="HD5" s="806"/>
      <c r="HE5" s="806"/>
      <c r="HF5" s="806"/>
      <c r="HG5" s="806"/>
      <c r="HH5" s="806"/>
      <c r="HI5" s="806"/>
      <c r="HJ5" s="806"/>
      <c r="HK5" s="806"/>
      <c r="HL5" s="806"/>
      <c r="HM5" s="806"/>
      <c r="HN5" s="806"/>
      <c r="HO5" s="806"/>
      <c r="HP5" s="806"/>
      <c r="HQ5" s="806"/>
      <c r="HR5" s="806"/>
      <c r="HS5" s="806"/>
      <c r="HT5" s="806"/>
      <c r="HU5" s="806"/>
      <c r="HV5" s="806"/>
      <c r="HW5" s="806"/>
      <c r="HX5" s="806"/>
      <c r="HY5" s="806"/>
      <c r="HZ5" s="806"/>
      <c r="IA5" s="806"/>
      <c r="IB5" s="806"/>
      <c r="IC5" s="806"/>
      <c r="ID5" s="806"/>
      <c r="IE5" s="806"/>
      <c r="IF5" s="806"/>
      <c r="IG5" s="806"/>
      <c r="IH5" s="806"/>
      <c r="II5" s="806"/>
      <c r="IJ5" s="806"/>
      <c r="IK5" s="806"/>
      <c r="IL5" s="806"/>
      <c r="IM5" s="806"/>
      <c r="IN5" s="806"/>
      <c r="IO5" s="806"/>
      <c r="IP5" s="806"/>
      <c r="IQ5" s="806"/>
      <c r="IR5" s="806"/>
      <c r="IS5" s="806"/>
      <c r="IT5" s="806"/>
      <c r="IU5" s="806"/>
      <c r="IV5" s="806"/>
    </row>
    <row r="6" spans="1:256" ht="18">
      <c r="A6" s="808" t="s">
        <v>1462</v>
      </c>
      <c r="B6" s="803"/>
      <c r="C6" s="803"/>
      <c r="D6" s="804"/>
      <c r="E6" s="804"/>
      <c r="F6" s="803"/>
      <c r="G6" s="803"/>
      <c r="H6" s="803"/>
      <c r="I6" s="803"/>
      <c r="J6" s="803"/>
      <c r="K6" s="803"/>
      <c r="L6" s="803"/>
      <c r="M6" s="804"/>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6"/>
      <c r="AY6" s="806"/>
      <c r="AZ6" s="806"/>
      <c r="BA6" s="806"/>
      <c r="BB6" s="806"/>
      <c r="BC6" s="806"/>
      <c r="BD6" s="806"/>
      <c r="BE6" s="806"/>
      <c r="BF6" s="806"/>
      <c r="BG6" s="806"/>
      <c r="BH6" s="806"/>
      <c r="BI6" s="806"/>
      <c r="BJ6" s="806"/>
      <c r="BK6" s="806"/>
      <c r="BL6" s="806"/>
      <c r="BM6" s="806"/>
      <c r="BN6" s="806"/>
      <c r="BO6" s="806"/>
      <c r="BP6" s="806"/>
      <c r="BQ6" s="806"/>
      <c r="BR6" s="806"/>
      <c r="BS6" s="806"/>
      <c r="BT6" s="806"/>
      <c r="BU6" s="806"/>
      <c r="BV6" s="806"/>
      <c r="BW6" s="806"/>
      <c r="BX6" s="806"/>
      <c r="BY6" s="806"/>
      <c r="BZ6" s="806"/>
      <c r="CA6" s="806"/>
      <c r="CB6" s="806"/>
      <c r="CC6" s="806"/>
      <c r="CD6" s="806"/>
      <c r="CE6" s="806"/>
      <c r="CF6" s="806"/>
      <c r="CG6" s="806"/>
      <c r="CH6" s="806"/>
      <c r="CI6" s="806"/>
      <c r="CJ6" s="806"/>
      <c r="CK6" s="806"/>
      <c r="CL6" s="806"/>
      <c r="CM6" s="806"/>
      <c r="CN6" s="806"/>
      <c r="CO6" s="806"/>
      <c r="CP6" s="806"/>
      <c r="CQ6" s="806"/>
      <c r="CR6" s="806"/>
      <c r="CS6" s="806"/>
      <c r="CT6" s="806"/>
      <c r="CU6" s="806"/>
      <c r="CV6" s="806"/>
      <c r="CW6" s="806"/>
      <c r="CX6" s="806"/>
      <c r="CY6" s="806"/>
      <c r="CZ6" s="806"/>
      <c r="DA6" s="806"/>
      <c r="DB6" s="806"/>
      <c r="DC6" s="806"/>
      <c r="DD6" s="806"/>
      <c r="DE6" s="806"/>
      <c r="DF6" s="806"/>
      <c r="DG6" s="806"/>
      <c r="DH6" s="806"/>
      <c r="DI6" s="806"/>
      <c r="DJ6" s="806"/>
      <c r="DK6" s="806"/>
      <c r="DL6" s="806"/>
      <c r="DM6" s="806"/>
      <c r="DN6" s="806"/>
      <c r="DO6" s="806"/>
      <c r="DP6" s="806"/>
      <c r="DQ6" s="806"/>
      <c r="DR6" s="806"/>
      <c r="DS6" s="806"/>
      <c r="DT6" s="806"/>
      <c r="DU6" s="806"/>
      <c r="DV6" s="806"/>
      <c r="DW6" s="806"/>
      <c r="DX6" s="806"/>
      <c r="DY6" s="806"/>
      <c r="DZ6" s="806"/>
      <c r="EA6" s="806"/>
      <c r="EB6" s="806"/>
      <c r="EC6" s="806"/>
      <c r="ED6" s="806"/>
      <c r="EE6" s="806"/>
      <c r="EF6" s="806"/>
      <c r="EG6" s="806"/>
      <c r="EH6" s="806"/>
      <c r="EI6" s="806"/>
      <c r="EJ6" s="806"/>
      <c r="EK6" s="806"/>
      <c r="EL6" s="806"/>
      <c r="EM6" s="806"/>
      <c r="EN6" s="806"/>
      <c r="EO6" s="806"/>
      <c r="EP6" s="806"/>
      <c r="EQ6" s="806"/>
      <c r="ER6" s="806"/>
      <c r="ES6" s="806"/>
      <c r="ET6" s="806"/>
      <c r="EU6" s="806"/>
      <c r="EV6" s="806"/>
      <c r="EW6" s="806"/>
      <c r="EX6" s="806"/>
      <c r="EY6" s="806"/>
      <c r="EZ6" s="806"/>
      <c r="FA6" s="806"/>
      <c r="FB6" s="806"/>
      <c r="FC6" s="806"/>
      <c r="FD6" s="806"/>
      <c r="FE6" s="806"/>
      <c r="FF6" s="806"/>
      <c r="FG6" s="806"/>
      <c r="FH6" s="806"/>
      <c r="FI6" s="806"/>
      <c r="FJ6" s="806"/>
      <c r="FK6" s="806"/>
      <c r="FL6" s="806"/>
      <c r="FM6" s="806"/>
      <c r="FN6" s="806"/>
      <c r="FO6" s="806"/>
      <c r="FP6" s="806"/>
      <c r="FQ6" s="806"/>
      <c r="FR6" s="806"/>
      <c r="FS6" s="806"/>
      <c r="FT6" s="806"/>
      <c r="FU6" s="806"/>
      <c r="FV6" s="806"/>
      <c r="FW6" s="806"/>
      <c r="FX6" s="806"/>
      <c r="FY6" s="806"/>
      <c r="FZ6" s="806"/>
      <c r="GA6" s="806"/>
      <c r="GB6" s="806"/>
      <c r="GC6" s="806"/>
      <c r="GD6" s="806"/>
      <c r="GE6" s="806"/>
      <c r="GF6" s="806"/>
      <c r="GG6" s="806"/>
      <c r="GH6" s="806"/>
      <c r="GI6" s="806"/>
      <c r="GJ6" s="806"/>
      <c r="GK6" s="806"/>
      <c r="GL6" s="806"/>
      <c r="GM6" s="806"/>
      <c r="GN6" s="806"/>
      <c r="GO6" s="806"/>
      <c r="GP6" s="806"/>
      <c r="GQ6" s="806"/>
      <c r="GR6" s="806"/>
      <c r="GS6" s="806"/>
      <c r="GT6" s="806"/>
      <c r="GU6" s="806"/>
      <c r="GV6" s="806"/>
      <c r="GW6" s="806"/>
      <c r="GX6" s="806"/>
      <c r="GY6" s="806"/>
      <c r="GZ6" s="806"/>
      <c r="HA6" s="806"/>
      <c r="HB6" s="806"/>
      <c r="HC6" s="806"/>
      <c r="HD6" s="806"/>
      <c r="HE6" s="806"/>
      <c r="HF6" s="806"/>
      <c r="HG6" s="806"/>
      <c r="HH6" s="806"/>
      <c r="HI6" s="806"/>
      <c r="HJ6" s="806"/>
      <c r="HK6" s="806"/>
      <c r="HL6" s="806"/>
      <c r="HM6" s="806"/>
      <c r="HN6" s="806"/>
      <c r="HO6" s="806"/>
      <c r="HP6" s="806"/>
      <c r="HQ6" s="806"/>
      <c r="HR6" s="806"/>
      <c r="HS6" s="806"/>
      <c r="HT6" s="806"/>
      <c r="HU6" s="806"/>
      <c r="HV6" s="806"/>
      <c r="HW6" s="806"/>
      <c r="HX6" s="806"/>
      <c r="HY6" s="806"/>
      <c r="HZ6" s="806"/>
      <c r="IA6" s="806"/>
      <c r="IB6" s="806"/>
      <c r="IC6" s="806"/>
      <c r="ID6" s="806"/>
      <c r="IE6" s="806"/>
      <c r="IF6" s="806"/>
      <c r="IG6" s="806"/>
      <c r="IH6" s="806"/>
      <c r="II6" s="806"/>
      <c r="IJ6" s="806"/>
      <c r="IK6" s="806"/>
      <c r="IL6" s="806"/>
      <c r="IM6" s="806"/>
      <c r="IN6" s="806"/>
      <c r="IO6" s="806"/>
      <c r="IP6" s="806"/>
      <c r="IQ6" s="806"/>
      <c r="IR6" s="806"/>
      <c r="IS6" s="806"/>
      <c r="IT6" s="806"/>
      <c r="IU6" s="806"/>
      <c r="IV6" s="806"/>
    </row>
    <row r="7" spans="1:256" ht="18">
      <c r="A7" s="808" t="str">
        <f>'Sch 2 '!A8</f>
        <v>FOR THE MONTH OF APRIL 2018</v>
      </c>
      <c r="B7" s="803"/>
      <c r="C7" s="803"/>
      <c r="D7" s="804"/>
      <c r="E7" s="804"/>
      <c r="F7" s="803"/>
      <c r="G7" s="803"/>
      <c r="H7" s="803"/>
      <c r="I7" s="803"/>
      <c r="J7" s="803"/>
      <c r="K7" s="803"/>
      <c r="L7" s="803"/>
      <c r="M7" s="804"/>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6"/>
      <c r="AY7" s="806"/>
      <c r="AZ7" s="806"/>
      <c r="BA7" s="806"/>
      <c r="BB7" s="806"/>
      <c r="BC7" s="806"/>
      <c r="BD7" s="806"/>
      <c r="BE7" s="806"/>
      <c r="BF7" s="806"/>
      <c r="BG7" s="806"/>
      <c r="BH7" s="806"/>
      <c r="BI7" s="806"/>
      <c r="BJ7" s="806"/>
      <c r="BK7" s="806"/>
      <c r="BL7" s="806"/>
      <c r="BM7" s="806"/>
      <c r="BN7" s="806"/>
      <c r="BO7" s="806"/>
      <c r="BP7" s="806"/>
      <c r="BQ7" s="806"/>
      <c r="BR7" s="806"/>
      <c r="BS7" s="806"/>
      <c r="BT7" s="806"/>
      <c r="BU7" s="806"/>
      <c r="BV7" s="806"/>
      <c r="BW7" s="806"/>
      <c r="BX7" s="806"/>
      <c r="BY7" s="806"/>
      <c r="BZ7" s="806"/>
      <c r="CA7" s="806"/>
      <c r="CB7" s="806"/>
      <c r="CC7" s="806"/>
      <c r="CD7" s="806"/>
      <c r="CE7" s="806"/>
      <c r="CF7" s="806"/>
      <c r="CG7" s="806"/>
      <c r="CH7" s="806"/>
      <c r="CI7" s="806"/>
      <c r="CJ7" s="806"/>
      <c r="CK7" s="806"/>
      <c r="CL7" s="806"/>
      <c r="CM7" s="806"/>
      <c r="CN7" s="806"/>
      <c r="CO7" s="806"/>
      <c r="CP7" s="806"/>
      <c r="CQ7" s="806"/>
      <c r="CR7" s="806"/>
      <c r="CS7" s="806"/>
      <c r="CT7" s="806"/>
      <c r="CU7" s="806"/>
      <c r="CV7" s="806"/>
      <c r="CW7" s="806"/>
      <c r="CX7" s="806"/>
      <c r="CY7" s="806"/>
      <c r="CZ7" s="806"/>
      <c r="DA7" s="806"/>
      <c r="DB7" s="806"/>
      <c r="DC7" s="806"/>
      <c r="DD7" s="806"/>
      <c r="DE7" s="806"/>
      <c r="DF7" s="806"/>
      <c r="DG7" s="806"/>
      <c r="DH7" s="806"/>
      <c r="DI7" s="806"/>
      <c r="DJ7" s="806"/>
      <c r="DK7" s="806"/>
      <c r="DL7" s="806"/>
      <c r="DM7" s="806"/>
      <c r="DN7" s="806"/>
      <c r="DO7" s="806"/>
      <c r="DP7" s="806"/>
      <c r="DQ7" s="806"/>
      <c r="DR7" s="806"/>
      <c r="DS7" s="806"/>
      <c r="DT7" s="806"/>
      <c r="DU7" s="806"/>
      <c r="DV7" s="806"/>
      <c r="DW7" s="806"/>
      <c r="DX7" s="806"/>
      <c r="DY7" s="806"/>
      <c r="DZ7" s="806"/>
      <c r="EA7" s="806"/>
      <c r="EB7" s="806"/>
      <c r="EC7" s="806"/>
      <c r="ED7" s="806"/>
      <c r="EE7" s="806"/>
      <c r="EF7" s="806"/>
      <c r="EG7" s="806"/>
      <c r="EH7" s="806"/>
      <c r="EI7" s="806"/>
      <c r="EJ7" s="806"/>
      <c r="EK7" s="806"/>
      <c r="EL7" s="806"/>
      <c r="EM7" s="806"/>
      <c r="EN7" s="806"/>
      <c r="EO7" s="806"/>
      <c r="EP7" s="806"/>
      <c r="EQ7" s="806"/>
      <c r="ER7" s="806"/>
      <c r="ES7" s="806"/>
      <c r="ET7" s="806"/>
      <c r="EU7" s="806"/>
      <c r="EV7" s="806"/>
      <c r="EW7" s="806"/>
      <c r="EX7" s="806"/>
      <c r="EY7" s="806"/>
      <c r="EZ7" s="806"/>
      <c r="FA7" s="806"/>
      <c r="FB7" s="806"/>
      <c r="FC7" s="806"/>
      <c r="FD7" s="806"/>
      <c r="FE7" s="806"/>
      <c r="FF7" s="806"/>
      <c r="FG7" s="806"/>
      <c r="FH7" s="806"/>
      <c r="FI7" s="806"/>
      <c r="FJ7" s="806"/>
      <c r="FK7" s="806"/>
      <c r="FL7" s="806"/>
      <c r="FM7" s="806"/>
      <c r="FN7" s="806"/>
      <c r="FO7" s="806"/>
      <c r="FP7" s="806"/>
      <c r="FQ7" s="806"/>
      <c r="FR7" s="806"/>
      <c r="FS7" s="806"/>
      <c r="FT7" s="806"/>
      <c r="FU7" s="806"/>
      <c r="FV7" s="806"/>
      <c r="FW7" s="806"/>
      <c r="FX7" s="806"/>
      <c r="FY7" s="806"/>
      <c r="FZ7" s="806"/>
      <c r="GA7" s="806"/>
      <c r="GB7" s="806"/>
      <c r="GC7" s="806"/>
      <c r="GD7" s="806"/>
      <c r="GE7" s="806"/>
      <c r="GF7" s="806"/>
      <c r="GG7" s="806"/>
      <c r="GH7" s="806"/>
      <c r="GI7" s="806"/>
      <c r="GJ7" s="806"/>
      <c r="GK7" s="806"/>
      <c r="GL7" s="806"/>
      <c r="GM7" s="806"/>
      <c r="GN7" s="806"/>
      <c r="GO7" s="806"/>
      <c r="GP7" s="806"/>
      <c r="GQ7" s="806"/>
      <c r="GR7" s="806"/>
      <c r="GS7" s="806"/>
      <c r="GT7" s="806"/>
      <c r="GU7" s="806"/>
      <c r="GV7" s="806"/>
      <c r="GW7" s="806"/>
      <c r="GX7" s="806"/>
      <c r="GY7" s="806"/>
      <c r="GZ7" s="806"/>
      <c r="HA7" s="806"/>
      <c r="HB7" s="806"/>
      <c r="HC7" s="806"/>
      <c r="HD7" s="806"/>
      <c r="HE7" s="806"/>
      <c r="HF7" s="806"/>
      <c r="HG7" s="806"/>
      <c r="HH7" s="806"/>
      <c r="HI7" s="806"/>
      <c r="HJ7" s="806"/>
      <c r="HK7" s="806"/>
      <c r="HL7" s="806"/>
      <c r="HM7" s="806"/>
      <c r="HN7" s="806"/>
      <c r="HO7" s="806"/>
      <c r="HP7" s="806"/>
      <c r="HQ7" s="806"/>
      <c r="HR7" s="806"/>
      <c r="HS7" s="806"/>
      <c r="HT7" s="806"/>
      <c r="HU7" s="806"/>
      <c r="HV7" s="806"/>
      <c r="HW7" s="806"/>
      <c r="HX7" s="806"/>
      <c r="HY7" s="806"/>
      <c r="HZ7" s="806"/>
      <c r="IA7" s="806"/>
      <c r="IB7" s="806"/>
      <c r="IC7" s="806"/>
      <c r="ID7" s="806"/>
      <c r="IE7" s="806"/>
      <c r="IF7" s="806"/>
      <c r="IG7" s="806"/>
      <c r="IH7" s="806"/>
      <c r="II7" s="806"/>
      <c r="IJ7" s="806"/>
      <c r="IK7" s="806"/>
      <c r="IL7" s="806"/>
      <c r="IM7" s="806"/>
      <c r="IN7" s="806"/>
      <c r="IO7" s="806"/>
      <c r="IP7" s="806"/>
      <c r="IQ7" s="806"/>
      <c r="IR7" s="806"/>
      <c r="IS7" s="806"/>
      <c r="IT7" s="806"/>
      <c r="IU7" s="806"/>
      <c r="IV7" s="806"/>
    </row>
    <row r="8" spans="1:256" ht="18">
      <c r="A8" s="1374" t="s">
        <v>957</v>
      </c>
      <c r="B8" s="803"/>
      <c r="C8" s="803"/>
      <c r="D8" s="804"/>
      <c r="E8" s="804"/>
      <c r="F8" s="803"/>
      <c r="G8" s="803"/>
      <c r="H8" s="803"/>
      <c r="I8" s="803"/>
      <c r="J8" s="803"/>
      <c r="K8" s="803"/>
      <c r="L8" s="803"/>
      <c r="M8" s="804"/>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6"/>
      <c r="AY8" s="806"/>
      <c r="AZ8" s="806"/>
      <c r="BA8" s="806"/>
      <c r="BB8" s="806"/>
      <c r="BC8" s="806"/>
      <c r="BD8" s="806"/>
      <c r="BE8" s="806"/>
      <c r="BF8" s="806"/>
      <c r="BG8" s="806"/>
      <c r="BH8" s="806"/>
      <c r="BI8" s="806"/>
      <c r="BJ8" s="806"/>
      <c r="BK8" s="806"/>
      <c r="BL8" s="806"/>
      <c r="BM8" s="806"/>
      <c r="BN8" s="806"/>
      <c r="BO8" s="806"/>
      <c r="BP8" s="806"/>
      <c r="BQ8" s="806"/>
      <c r="BR8" s="806"/>
      <c r="BS8" s="806"/>
      <c r="BT8" s="806"/>
      <c r="BU8" s="806"/>
      <c r="BV8" s="806"/>
      <c r="BW8" s="806"/>
      <c r="BX8" s="806"/>
      <c r="BY8" s="806"/>
      <c r="BZ8" s="806"/>
      <c r="CA8" s="806"/>
      <c r="CB8" s="806"/>
      <c r="CC8" s="806"/>
      <c r="CD8" s="806"/>
      <c r="CE8" s="806"/>
      <c r="CF8" s="806"/>
      <c r="CG8" s="806"/>
      <c r="CH8" s="806"/>
      <c r="CI8" s="806"/>
      <c r="CJ8" s="806"/>
      <c r="CK8" s="806"/>
      <c r="CL8" s="806"/>
      <c r="CM8" s="806"/>
      <c r="CN8" s="806"/>
      <c r="CO8" s="806"/>
      <c r="CP8" s="806"/>
      <c r="CQ8" s="806"/>
      <c r="CR8" s="806"/>
      <c r="CS8" s="806"/>
      <c r="CT8" s="806"/>
      <c r="CU8" s="806"/>
      <c r="CV8" s="806"/>
      <c r="CW8" s="806"/>
      <c r="CX8" s="806"/>
      <c r="CY8" s="806"/>
      <c r="CZ8" s="806"/>
      <c r="DA8" s="806"/>
      <c r="DB8" s="806"/>
      <c r="DC8" s="806"/>
      <c r="DD8" s="806"/>
      <c r="DE8" s="806"/>
      <c r="DF8" s="806"/>
      <c r="DG8" s="806"/>
      <c r="DH8" s="806"/>
      <c r="DI8" s="806"/>
      <c r="DJ8" s="806"/>
      <c r="DK8" s="806"/>
      <c r="DL8" s="806"/>
      <c r="DM8" s="806"/>
      <c r="DN8" s="806"/>
      <c r="DO8" s="806"/>
      <c r="DP8" s="806"/>
      <c r="DQ8" s="806"/>
      <c r="DR8" s="806"/>
      <c r="DS8" s="806"/>
      <c r="DT8" s="806"/>
      <c r="DU8" s="806"/>
      <c r="DV8" s="806"/>
      <c r="DW8" s="806"/>
      <c r="DX8" s="806"/>
      <c r="DY8" s="806"/>
      <c r="DZ8" s="806"/>
      <c r="EA8" s="806"/>
      <c r="EB8" s="806"/>
      <c r="EC8" s="806"/>
      <c r="ED8" s="806"/>
      <c r="EE8" s="806"/>
      <c r="EF8" s="806"/>
      <c r="EG8" s="806"/>
      <c r="EH8" s="806"/>
      <c r="EI8" s="806"/>
      <c r="EJ8" s="806"/>
      <c r="EK8" s="806"/>
      <c r="EL8" s="806"/>
      <c r="EM8" s="806"/>
      <c r="EN8" s="806"/>
      <c r="EO8" s="806"/>
      <c r="EP8" s="806"/>
      <c r="EQ8" s="806"/>
      <c r="ER8" s="806"/>
      <c r="ES8" s="806"/>
      <c r="ET8" s="806"/>
      <c r="EU8" s="806"/>
      <c r="EV8" s="806"/>
      <c r="EW8" s="806"/>
      <c r="EX8" s="806"/>
      <c r="EY8" s="806"/>
      <c r="EZ8" s="806"/>
      <c r="FA8" s="806"/>
      <c r="FB8" s="806"/>
      <c r="FC8" s="806"/>
      <c r="FD8" s="806"/>
      <c r="FE8" s="806"/>
      <c r="FF8" s="806"/>
      <c r="FG8" s="806"/>
      <c r="FH8" s="806"/>
      <c r="FI8" s="806"/>
      <c r="FJ8" s="806"/>
      <c r="FK8" s="806"/>
      <c r="FL8" s="806"/>
      <c r="FM8" s="806"/>
      <c r="FN8" s="806"/>
      <c r="FO8" s="806"/>
      <c r="FP8" s="806"/>
      <c r="FQ8" s="806"/>
      <c r="FR8" s="806"/>
      <c r="FS8" s="806"/>
      <c r="FT8" s="806"/>
      <c r="FU8" s="806"/>
      <c r="FV8" s="806"/>
      <c r="FW8" s="806"/>
      <c r="FX8" s="806"/>
      <c r="FY8" s="806"/>
      <c r="FZ8" s="806"/>
      <c r="GA8" s="806"/>
      <c r="GB8" s="806"/>
      <c r="GC8" s="806"/>
      <c r="GD8" s="806"/>
      <c r="GE8" s="806"/>
      <c r="GF8" s="806"/>
      <c r="GG8" s="806"/>
      <c r="GH8" s="806"/>
      <c r="GI8" s="806"/>
      <c r="GJ8" s="806"/>
      <c r="GK8" s="806"/>
      <c r="GL8" s="806"/>
      <c r="GM8" s="806"/>
      <c r="GN8" s="806"/>
      <c r="GO8" s="806"/>
      <c r="GP8" s="806"/>
      <c r="GQ8" s="806"/>
      <c r="GR8" s="806"/>
      <c r="GS8" s="806"/>
      <c r="GT8" s="806"/>
      <c r="GU8" s="806"/>
      <c r="GV8" s="806"/>
      <c r="GW8" s="806"/>
      <c r="GX8" s="806"/>
      <c r="GY8" s="806"/>
      <c r="GZ8" s="806"/>
      <c r="HA8" s="806"/>
      <c r="HB8" s="806"/>
      <c r="HC8" s="806"/>
      <c r="HD8" s="806"/>
      <c r="HE8" s="806"/>
      <c r="HF8" s="806"/>
      <c r="HG8" s="806"/>
      <c r="HH8" s="806"/>
      <c r="HI8" s="806"/>
      <c r="HJ8" s="806"/>
      <c r="HK8" s="806"/>
      <c r="HL8" s="806"/>
      <c r="HM8" s="806"/>
      <c r="HN8" s="806"/>
      <c r="HO8" s="806"/>
      <c r="HP8" s="806"/>
      <c r="HQ8" s="806"/>
      <c r="HR8" s="806"/>
      <c r="HS8" s="806"/>
      <c r="HT8" s="806"/>
      <c r="HU8" s="806"/>
      <c r="HV8" s="806"/>
      <c r="HW8" s="806"/>
      <c r="HX8" s="806"/>
      <c r="HY8" s="806"/>
      <c r="HZ8" s="806"/>
      <c r="IA8" s="806"/>
      <c r="IB8" s="806"/>
      <c r="IC8" s="806"/>
      <c r="ID8" s="806"/>
      <c r="IE8" s="806"/>
      <c r="IF8" s="806"/>
      <c r="IG8" s="806"/>
      <c r="IH8" s="806"/>
      <c r="II8" s="806"/>
      <c r="IJ8" s="806"/>
      <c r="IK8" s="806"/>
      <c r="IL8" s="806"/>
      <c r="IM8" s="806"/>
      <c r="IN8" s="806"/>
      <c r="IO8" s="806"/>
      <c r="IP8" s="806"/>
      <c r="IQ8" s="806"/>
      <c r="IR8" s="806"/>
      <c r="IS8" s="806"/>
      <c r="IT8" s="806"/>
      <c r="IU8" s="806"/>
      <c r="IV8" s="806"/>
    </row>
    <row r="9" spans="1:256" ht="18">
      <c r="A9" s="802"/>
      <c r="B9" s="802"/>
      <c r="C9" s="802"/>
      <c r="D9" s="1215"/>
      <c r="E9" s="802"/>
      <c r="F9" s="802"/>
      <c r="G9" s="802"/>
      <c r="H9" s="802"/>
      <c r="I9" s="802"/>
      <c r="J9" s="1215" t="s">
        <v>360</v>
      </c>
      <c r="K9" s="802"/>
      <c r="L9" s="1215"/>
      <c r="M9" s="804"/>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806"/>
      <c r="BR9" s="806"/>
      <c r="BS9" s="806"/>
      <c r="BT9" s="806"/>
      <c r="BU9" s="806"/>
      <c r="BV9" s="806"/>
      <c r="BW9" s="806"/>
      <c r="BX9" s="806"/>
      <c r="BY9" s="806"/>
      <c r="BZ9" s="806"/>
      <c r="CA9" s="806"/>
      <c r="CB9" s="806"/>
      <c r="CC9" s="806"/>
      <c r="CD9" s="806"/>
      <c r="CE9" s="806"/>
      <c r="CF9" s="806"/>
      <c r="CG9" s="806"/>
      <c r="CH9" s="806"/>
      <c r="CI9" s="806"/>
      <c r="CJ9" s="806"/>
      <c r="CK9" s="806"/>
      <c r="CL9" s="806"/>
      <c r="CM9" s="806"/>
      <c r="CN9" s="806"/>
      <c r="CO9" s="806"/>
      <c r="CP9" s="806"/>
      <c r="CQ9" s="806"/>
      <c r="CR9" s="806"/>
      <c r="CS9" s="806"/>
      <c r="CT9" s="806"/>
      <c r="CU9" s="806"/>
      <c r="CV9" s="806"/>
      <c r="CW9" s="806"/>
      <c r="CX9" s="806"/>
      <c r="CY9" s="806"/>
      <c r="CZ9" s="806"/>
      <c r="DA9" s="806"/>
      <c r="DB9" s="806"/>
      <c r="DC9" s="806"/>
      <c r="DD9" s="806"/>
      <c r="DE9" s="806"/>
      <c r="DF9" s="806"/>
      <c r="DG9" s="806"/>
      <c r="DH9" s="806"/>
      <c r="DI9" s="806"/>
      <c r="DJ9" s="806"/>
      <c r="DK9" s="806"/>
      <c r="DL9" s="806"/>
      <c r="DM9" s="806"/>
      <c r="DN9" s="806"/>
      <c r="DO9" s="806"/>
      <c r="DP9" s="806"/>
      <c r="DQ9" s="806"/>
      <c r="DR9" s="806"/>
      <c r="DS9" s="806"/>
      <c r="DT9" s="806"/>
      <c r="DU9" s="806"/>
      <c r="DV9" s="806"/>
      <c r="DW9" s="806"/>
      <c r="DX9" s="806"/>
      <c r="DY9" s="806"/>
      <c r="DZ9" s="806"/>
      <c r="EA9" s="806"/>
      <c r="EB9" s="806"/>
      <c r="EC9" s="806"/>
      <c r="ED9" s="806"/>
      <c r="EE9" s="806"/>
      <c r="EF9" s="806"/>
      <c r="EG9" s="806"/>
      <c r="EH9" s="806"/>
      <c r="EI9" s="806"/>
      <c r="EJ9" s="806"/>
      <c r="EK9" s="806"/>
      <c r="EL9" s="806"/>
      <c r="EM9" s="806"/>
      <c r="EN9" s="806"/>
      <c r="EO9" s="806"/>
      <c r="EP9" s="806"/>
      <c r="EQ9" s="806"/>
      <c r="ER9" s="806"/>
      <c r="ES9" s="806"/>
      <c r="ET9" s="806"/>
      <c r="EU9" s="806"/>
      <c r="EV9" s="806"/>
      <c r="EW9" s="806"/>
      <c r="EX9" s="806"/>
      <c r="EY9" s="806"/>
      <c r="EZ9" s="806"/>
      <c r="FA9" s="806"/>
      <c r="FB9" s="806"/>
      <c r="FC9" s="806"/>
      <c r="FD9" s="806"/>
      <c r="FE9" s="806"/>
      <c r="FF9" s="806"/>
      <c r="FG9" s="806"/>
      <c r="FH9" s="806"/>
      <c r="FI9" s="806"/>
      <c r="FJ9" s="806"/>
      <c r="FK9" s="806"/>
      <c r="FL9" s="806"/>
      <c r="FM9" s="806"/>
      <c r="FN9" s="806"/>
      <c r="FO9" s="806"/>
      <c r="FP9" s="806"/>
      <c r="FQ9" s="806"/>
      <c r="FR9" s="806"/>
      <c r="FS9" s="806"/>
      <c r="FT9" s="806"/>
      <c r="FU9" s="806"/>
      <c r="FV9" s="806"/>
      <c r="FW9" s="806"/>
      <c r="FX9" s="806"/>
      <c r="FY9" s="806"/>
      <c r="FZ9" s="806"/>
      <c r="GA9" s="806"/>
      <c r="GB9" s="806"/>
      <c r="GC9" s="806"/>
      <c r="GD9" s="806"/>
      <c r="GE9" s="806"/>
      <c r="GF9" s="806"/>
      <c r="GG9" s="806"/>
      <c r="GH9" s="806"/>
      <c r="GI9" s="806"/>
      <c r="GJ9" s="806"/>
      <c r="GK9" s="806"/>
      <c r="GL9" s="806"/>
      <c r="GM9" s="806"/>
      <c r="GN9" s="806"/>
      <c r="GO9" s="806"/>
      <c r="GP9" s="806"/>
      <c r="GQ9" s="806"/>
      <c r="GR9" s="806"/>
      <c r="GS9" s="806"/>
      <c r="GT9" s="806"/>
      <c r="GU9" s="806"/>
      <c r="GV9" s="806"/>
      <c r="GW9" s="806"/>
      <c r="GX9" s="806"/>
      <c r="GY9" s="806"/>
      <c r="GZ9" s="806"/>
      <c r="HA9" s="806"/>
      <c r="HB9" s="806"/>
      <c r="HC9" s="806"/>
      <c r="HD9" s="806"/>
      <c r="HE9" s="806"/>
      <c r="HF9" s="806"/>
      <c r="HG9" s="806"/>
      <c r="HH9" s="806"/>
      <c r="HI9" s="806"/>
      <c r="HJ9" s="806"/>
      <c r="HK9" s="806"/>
      <c r="HL9" s="806"/>
      <c r="HM9" s="806"/>
      <c r="HN9" s="806"/>
      <c r="HO9" s="806"/>
      <c r="HP9" s="806"/>
      <c r="HQ9" s="806"/>
      <c r="HR9" s="806"/>
      <c r="HS9" s="806"/>
      <c r="HT9" s="806"/>
      <c r="HU9" s="806"/>
      <c r="HV9" s="806"/>
      <c r="HW9" s="806"/>
      <c r="HX9" s="806"/>
      <c r="HY9" s="806"/>
      <c r="HZ9" s="806"/>
      <c r="IA9" s="806"/>
      <c r="IB9" s="806"/>
      <c r="IC9" s="806"/>
      <c r="ID9" s="806"/>
      <c r="IE9" s="806"/>
      <c r="IF9" s="806"/>
      <c r="IG9" s="806"/>
      <c r="IH9" s="806"/>
      <c r="II9" s="806"/>
      <c r="IJ9" s="806"/>
      <c r="IK9" s="806"/>
      <c r="IL9" s="806"/>
      <c r="IM9" s="806"/>
      <c r="IN9" s="806"/>
      <c r="IO9" s="806"/>
      <c r="IP9" s="806"/>
      <c r="IQ9" s="806"/>
      <c r="IR9" s="806"/>
      <c r="IS9" s="806"/>
      <c r="IT9" s="806"/>
      <c r="IU9" s="806"/>
      <c r="IV9" s="806"/>
    </row>
    <row r="10" spans="1:256" ht="18">
      <c r="A10" s="802"/>
      <c r="B10" s="802"/>
      <c r="C10" s="802"/>
      <c r="D10" s="1215" t="s">
        <v>237</v>
      </c>
      <c r="E10" s="802"/>
      <c r="F10" s="802"/>
      <c r="G10" s="802"/>
      <c r="H10" s="802"/>
      <c r="I10" s="802"/>
      <c r="J10" s="1215" t="s">
        <v>361</v>
      </c>
      <c r="K10" s="802"/>
      <c r="L10" s="1215" t="s">
        <v>237</v>
      </c>
      <c r="M10" s="804"/>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6"/>
      <c r="AY10" s="806"/>
      <c r="AZ10" s="806"/>
      <c r="BA10" s="806"/>
      <c r="BB10" s="806"/>
      <c r="BC10" s="806"/>
      <c r="BD10" s="806"/>
      <c r="BE10" s="806"/>
      <c r="BF10" s="806"/>
      <c r="BG10" s="806"/>
      <c r="BH10" s="806"/>
      <c r="BI10" s="806"/>
      <c r="BJ10" s="806"/>
      <c r="BK10" s="806"/>
      <c r="BL10" s="806"/>
      <c r="BM10" s="806"/>
      <c r="BN10" s="806"/>
      <c r="BO10" s="806"/>
      <c r="BP10" s="806"/>
      <c r="BQ10" s="806"/>
      <c r="BR10" s="806"/>
      <c r="BS10" s="806"/>
      <c r="BT10" s="806"/>
      <c r="BU10" s="806"/>
      <c r="BV10" s="806"/>
      <c r="BW10" s="806"/>
      <c r="BX10" s="806"/>
      <c r="BY10" s="806"/>
      <c r="BZ10" s="806"/>
      <c r="CA10" s="806"/>
      <c r="CB10" s="806"/>
      <c r="CC10" s="806"/>
      <c r="CD10" s="806"/>
      <c r="CE10" s="806"/>
      <c r="CF10" s="806"/>
      <c r="CG10" s="806"/>
      <c r="CH10" s="806"/>
      <c r="CI10" s="806"/>
      <c r="CJ10" s="806"/>
      <c r="CK10" s="806"/>
      <c r="CL10" s="806"/>
      <c r="CM10" s="806"/>
      <c r="CN10" s="806"/>
      <c r="CO10" s="806"/>
      <c r="CP10" s="806"/>
      <c r="CQ10" s="806"/>
      <c r="CR10" s="806"/>
      <c r="CS10" s="806"/>
      <c r="CT10" s="806"/>
      <c r="CU10" s="806"/>
      <c r="CV10" s="806"/>
      <c r="CW10" s="806"/>
      <c r="CX10" s="806"/>
      <c r="CY10" s="806"/>
      <c r="CZ10" s="806"/>
      <c r="DA10" s="806"/>
      <c r="DB10" s="806"/>
      <c r="DC10" s="806"/>
      <c r="DD10" s="806"/>
      <c r="DE10" s="806"/>
      <c r="DF10" s="806"/>
      <c r="DG10" s="806"/>
      <c r="DH10" s="806"/>
      <c r="DI10" s="806"/>
      <c r="DJ10" s="806"/>
      <c r="DK10" s="806"/>
      <c r="DL10" s="806"/>
      <c r="DM10" s="806"/>
      <c r="DN10" s="806"/>
      <c r="DO10" s="806"/>
      <c r="DP10" s="806"/>
      <c r="DQ10" s="806"/>
      <c r="DR10" s="806"/>
      <c r="DS10" s="806"/>
      <c r="DT10" s="806"/>
      <c r="DU10" s="806"/>
      <c r="DV10" s="806"/>
      <c r="DW10" s="806"/>
      <c r="DX10" s="806"/>
      <c r="DY10" s="806"/>
      <c r="DZ10" s="806"/>
      <c r="EA10" s="806"/>
      <c r="EB10" s="806"/>
      <c r="EC10" s="806"/>
      <c r="ED10" s="806"/>
      <c r="EE10" s="806"/>
      <c r="EF10" s="806"/>
      <c r="EG10" s="806"/>
      <c r="EH10" s="806"/>
      <c r="EI10" s="806"/>
      <c r="EJ10" s="806"/>
      <c r="EK10" s="806"/>
      <c r="EL10" s="806"/>
      <c r="EM10" s="806"/>
      <c r="EN10" s="806"/>
      <c r="EO10" s="806"/>
      <c r="EP10" s="806"/>
      <c r="EQ10" s="806"/>
      <c r="ER10" s="806"/>
      <c r="ES10" s="806"/>
      <c r="ET10" s="806"/>
      <c r="EU10" s="806"/>
      <c r="EV10" s="806"/>
      <c r="EW10" s="806"/>
      <c r="EX10" s="806"/>
      <c r="EY10" s="806"/>
      <c r="EZ10" s="806"/>
      <c r="FA10" s="806"/>
      <c r="FB10" s="806"/>
      <c r="FC10" s="806"/>
      <c r="FD10" s="806"/>
      <c r="FE10" s="806"/>
      <c r="FF10" s="806"/>
      <c r="FG10" s="806"/>
      <c r="FH10" s="806"/>
      <c r="FI10" s="806"/>
      <c r="FJ10" s="806"/>
      <c r="FK10" s="806"/>
      <c r="FL10" s="806"/>
      <c r="FM10" s="806"/>
      <c r="FN10" s="806"/>
      <c r="FO10" s="806"/>
      <c r="FP10" s="806"/>
      <c r="FQ10" s="806"/>
      <c r="FR10" s="806"/>
      <c r="FS10" s="806"/>
      <c r="FT10" s="806"/>
      <c r="FU10" s="806"/>
      <c r="FV10" s="806"/>
      <c r="FW10" s="806"/>
      <c r="FX10" s="806"/>
      <c r="FY10" s="806"/>
      <c r="FZ10" s="806"/>
      <c r="GA10" s="806"/>
      <c r="GB10" s="806"/>
      <c r="GC10" s="806"/>
      <c r="GD10" s="806"/>
      <c r="GE10" s="806"/>
      <c r="GF10" s="806"/>
      <c r="GG10" s="806"/>
      <c r="GH10" s="806"/>
      <c r="GI10" s="806"/>
      <c r="GJ10" s="806"/>
      <c r="GK10" s="806"/>
      <c r="GL10" s="806"/>
      <c r="GM10" s="806"/>
      <c r="GN10" s="806"/>
      <c r="GO10" s="806"/>
      <c r="GP10" s="806"/>
      <c r="GQ10" s="806"/>
      <c r="GR10" s="806"/>
      <c r="GS10" s="806"/>
      <c r="GT10" s="806"/>
      <c r="GU10" s="806"/>
      <c r="GV10" s="806"/>
      <c r="GW10" s="806"/>
      <c r="GX10" s="806"/>
      <c r="GY10" s="806"/>
      <c r="GZ10" s="806"/>
      <c r="HA10" s="806"/>
      <c r="HB10" s="806"/>
      <c r="HC10" s="806"/>
      <c r="HD10" s="806"/>
      <c r="HE10" s="806"/>
      <c r="HF10" s="806"/>
      <c r="HG10" s="806"/>
      <c r="HH10" s="806"/>
      <c r="HI10" s="806"/>
      <c r="HJ10" s="806"/>
      <c r="HK10" s="806"/>
      <c r="HL10" s="806"/>
      <c r="HM10" s="806"/>
      <c r="HN10" s="806"/>
      <c r="HO10" s="806"/>
      <c r="HP10" s="806"/>
      <c r="HQ10" s="806"/>
      <c r="HR10" s="806"/>
      <c r="HS10" s="806"/>
      <c r="HT10" s="806"/>
      <c r="HU10" s="806"/>
      <c r="HV10" s="806"/>
      <c r="HW10" s="806"/>
      <c r="HX10" s="806"/>
      <c r="HY10" s="806"/>
      <c r="HZ10" s="806"/>
      <c r="IA10" s="806"/>
      <c r="IB10" s="806"/>
      <c r="IC10" s="806"/>
      <c r="ID10" s="806"/>
      <c r="IE10" s="806"/>
      <c r="IF10" s="806"/>
      <c r="IG10" s="806"/>
      <c r="IH10" s="806"/>
      <c r="II10" s="806"/>
      <c r="IJ10" s="806"/>
      <c r="IK10" s="806"/>
      <c r="IL10" s="806"/>
      <c r="IM10" s="806"/>
      <c r="IN10" s="806"/>
      <c r="IO10" s="806"/>
      <c r="IP10" s="806"/>
      <c r="IQ10" s="806"/>
      <c r="IR10" s="806"/>
      <c r="IS10" s="806"/>
      <c r="IT10" s="806"/>
      <c r="IU10" s="806"/>
      <c r="IV10" s="806"/>
    </row>
    <row r="11" spans="1:256" ht="18">
      <c r="A11" s="822" t="s">
        <v>362</v>
      </c>
      <c r="B11" s="802"/>
      <c r="C11" s="802"/>
      <c r="D11" s="1559" t="str">
        <f>'Sch 1 '!C11</f>
        <v>APRIL 1, 2018</v>
      </c>
      <c r="E11" s="802"/>
      <c r="F11" s="1215" t="s">
        <v>239</v>
      </c>
      <c r="G11" s="802"/>
      <c r="H11" s="1215" t="s">
        <v>240</v>
      </c>
      <c r="I11" s="802"/>
      <c r="J11" s="1215" t="s">
        <v>241</v>
      </c>
      <c r="K11" s="802"/>
      <c r="L11" s="1559" t="str">
        <f>'Sch 1 '!K11</f>
        <v>APRIL 30, 2018</v>
      </c>
      <c r="M11" s="804"/>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806"/>
      <c r="BR11" s="806"/>
      <c r="BS11" s="806"/>
      <c r="BT11" s="806"/>
      <c r="BU11" s="806"/>
      <c r="BV11" s="806"/>
      <c r="BW11" s="806"/>
      <c r="BX11" s="806"/>
      <c r="BY11" s="806"/>
      <c r="BZ11" s="806"/>
      <c r="CA11" s="806"/>
      <c r="CB11" s="806"/>
      <c r="CC11" s="806"/>
      <c r="CD11" s="806"/>
      <c r="CE11" s="806"/>
      <c r="CF11" s="806"/>
      <c r="CG11" s="806"/>
      <c r="CH11" s="806"/>
      <c r="CI11" s="806"/>
      <c r="CJ11" s="806"/>
      <c r="CK11" s="806"/>
      <c r="CL11" s="806"/>
      <c r="CM11" s="806"/>
      <c r="CN11" s="806"/>
      <c r="CO11" s="806"/>
      <c r="CP11" s="806"/>
      <c r="CQ11" s="806"/>
      <c r="CR11" s="806"/>
      <c r="CS11" s="806"/>
      <c r="CT11" s="806"/>
      <c r="CU11" s="806"/>
      <c r="CV11" s="806"/>
      <c r="CW11" s="806"/>
      <c r="CX11" s="806"/>
      <c r="CY11" s="806"/>
      <c r="CZ11" s="806"/>
      <c r="DA11" s="806"/>
      <c r="DB11" s="806"/>
      <c r="DC11" s="806"/>
      <c r="DD11" s="806"/>
      <c r="DE11" s="806"/>
      <c r="DF11" s="806"/>
      <c r="DG11" s="806"/>
      <c r="DH11" s="806"/>
      <c r="DI11" s="806"/>
      <c r="DJ11" s="806"/>
      <c r="DK11" s="806"/>
      <c r="DL11" s="806"/>
      <c r="DM11" s="806"/>
      <c r="DN11" s="806"/>
      <c r="DO11" s="806"/>
      <c r="DP11" s="806"/>
      <c r="DQ11" s="806"/>
      <c r="DR11" s="806"/>
      <c r="DS11" s="806"/>
      <c r="DT11" s="806"/>
      <c r="DU11" s="806"/>
      <c r="DV11" s="806"/>
      <c r="DW11" s="806"/>
      <c r="DX11" s="806"/>
      <c r="DY11" s="806"/>
      <c r="DZ11" s="806"/>
      <c r="EA11" s="806"/>
      <c r="EB11" s="806"/>
      <c r="EC11" s="806"/>
      <c r="ED11" s="806"/>
      <c r="EE11" s="806"/>
      <c r="EF11" s="806"/>
      <c r="EG11" s="806"/>
      <c r="EH11" s="806"/>
      <c r="EI11" s="806"/>
      <c r="EJ11" s="806"/>
      <c r="EK11" s="806"/>
      <c r="EL11" s="806"/>
      <c r="EM11" s="806"/>
      <c r="EN11" s="806"/>
      <c r="EO11" s="806"/>
      <c r="EP11" s="806"/>
      <c r="EQ11" s="806"/>
      <c r="ER11" s="806"/>
      <c r="ES11" s="806"/>
      <c r="ET11" s="806"/>
      <c r="EU11" s="806"/>
      <c r="EV11" s="806"/>
      <c r="EW11" s="806"/>
      <c r="EX11" s="806"/>
      <c r="EY11" s="806"/>
      <c r="EZ11" s="806"/>
      <c r="FA11" s="806"/>
      <c r="FB11" s="806"/>
      <c r="FC11" s="806"/>
      <c r="FD11" s="806"/>
      <c r="FE11" s="806"/>
      <c r="FF11" s="806"/>
      <c r="FG11" s="806"/>
      <c r="FH11" s="806"/>
      <c r="FI11" s="806"/>
      <c r="FJ11" s="806"/>
      <c r="FK11" s="806"/>
      <c r="FL11" s="806"/>
      <c r="FM11" s="806"/>
      <c r="FN11" s="806"/>
      <c r="FO11" s="806"/>
      <c r="FP11" s="806"/>
      <c r="FQ11" s="806"/>
      <c r="FR11" s="806"/>
      <c r="FS11" s="806"/>
      <c r="FT11" s="806"/>
      <c r="FU11" s="806"/>
      <c r="FV11" s="806"/>
      <c r="FW11" s="806"/>
      <c r="FX11" s="806"/>
      <c r="FY11" s="806"/>
      <c r="FZ11" s="806"/>
      <c r="GA11" s="806"/>
      <c r="GB11" s="806"/>
      <c r="GC11" s="806"/>
      <c r="GD11" s="806"/>
      <c r="GE11" s="806"/>
      <c r="GF11" s="806"/>
      <c r="GG11" s="806"/>
      <c r="GH11" s="806"/>
      <c r="GI11" s="806"/>
      <c r="GJ11" s="806"/>
      <c r="GK11" s="806"/>
      <c r="GL11" s="806"/>
      <c r="GM11" s="806"/>
      <c r="GN11" s="806"/>
      <c r="GO11" s="806"/>
      <c r="GP11" s="806"/>
      <c r="GQ11" s="806"/>
      <c r="GR11" s="806"/>
      <c r="GS11" s="806"/>
      <c r="GT11" s="806"/>
      <c r="GU11" s="806"/>
      <c r="GV11" s="806"/>
      <c r="GW11" s="806"/>
      <c r="GX11" s="806"/>
      <c r="GY11" s="806"/>
      <c r="GZ11" s="806"/>
      <c r="HA11" s="806"/>
      <c r="HB11" s="806"/>
      <c r="HC11" s="806"/>
      <c r="HD11" s="806"/>
      <c r="HE11" s="806"/>
      <c r="HF11" s="806"/>
      <c r="HG11" s="806"/>
      <c r="HH11" s="806"/>
      <c r="HI11" s="806"/>
      <c r="HJ11" s="806"/>
      <c r="HK11" s="806"/>
      <c r="HL11" s="806"/>
      <c r="HM11" s="806"/>
      <c r="HN11" s="806"/>
      <c r="HO11" s="806"/>
      <c r="HP11" s="806"/>
      <c r="HQ11" s="806"/>
      <c r="HR11" s="806"/>
      <c r="HS11" s="806"/>
      <c r="HT11" s="806"/>
      <c r="HU11" s="806"/>
      <c r="HV11" s="806"/>
      <c r="HW11" s="806"/>
      <c r="HX11" s="806"/>
      <c r="HY11" s="806"/>
      <c r="HZ11" s="806"/>
      <c r="IA11" s="806"/>
      <c r="IB11" s="806"/>
      <c r="IC11" s="806"/>
      <c r="ID11" s="806"/>
      <c r="IE11" s="806"/>
      <c r="IF11" s="806"/>
      <c r="IG11" s="806"/>
      <c r="IH11" s="806"/>
      <c r="II11" s="806"/>
      <c r="IJ11" s="806"/>
      <c r="IK11" s="806"/>
      <c r="IL11" s="806"/>
      <c r="IM11" s="806"/>
      <c r="IN11" s="806"/>
      <c r="IO11" s="806"/>
      <c r="IP11" s="806"/>
      <c r="IQ11" s="806"/>
      <c r="IR11" s="806"/>
      <c r="IS11" s="806"/>
      <c r="IT11" s="806"/>
      <c r="IU11" s="806"/>
      <c r="IV11" s="806"/>
    </row>
    <row r="12" spans="1:256" ht="9.75" customHeight="1">
      <c r="A12" s="802" t="s">
        <v>15</v>
      </c>
      <c r="B12" s="802"/>
      <c r="C12" s="802"/>
      <c r="D12" s="1216" t="s">
        <v>15</v>
      </c>
      <c r="E12" s="802"/>
      <c r="F12" s="1216" t="s">
        <v>15</v>
      </c>
      <c r="G12" s="802"/>
      <c r="H12" s="1216" t="s">
        <v>15</v>
      </c>
      <c r="I12" s="802"/>
      <c r="J12" s="1216" t="s">
        <v>15</v>
      </c>
      <c r="K12" s="802" t="s">
        <v>15</v>
      </c>
      <c r="L12" s="1216" t="s">
        <v>15</v>
      </c>
      <c r="M12" s="804"/>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c r="BQ12" s="806"/>
      <c r="BR12" s="806"/>
      <c r="BS12" s="806"/>
      <c r="BT12" s="806"/>
      <c r="BU12" s="806"/>
      <c r="BV12" s="806"/>
      <c r="BW12" s="806"/>
      <c r="BX12" s="806"/>
      <c r="BY12" s="806"/>
      <c r="BZ12" s="806"/>
      <c r="CA12" s="806"/>
      <c r="CB12" s="806"/>
      <c r="CC12" s="806"/>
      <c r="CD12" s="806"/>
      <c r="CE12" s="806"/>
      <c r="CF12" s="806"/>
      <c r="CG12" s="806"/>
      <c r="CH12" s="806"/>
      <c r="CI12" s="806"/>
      <c r="CJ12" s="806"/>
      <c r="CK12" s="806"/>
      <c r="CL12" s="806"/>
      <c r="CM12" s="806"/>
      <c r="CN12" s="806"/>
      <c r="CO12" s="806"/>
      <c r="CP12" s="806"/>
      <c r="CQ12" s="806"/>
      <c r="CR12" s="806"/>
      <c r="CS12" s="806"/>
      <c r="CT12" s="806"/>
      <c r="CU12" s="806"/>
      <c r="CV12" s="806"/>
      <c r="CW12" s="806"/>
      <c r="CX12" s="806"/>
      <c r="CY12" s="806"/>
      <c r="CZ12" s="806"/>
      <c r="DA12" s="806"/>
      <c r="DB12" s="806"/>
      <c r="DC12" s="806"/>
      <c r="DD12" s="806"/>
      <c r="DE12" s="806"/>
      <c r="DF12" s="806"/>
      <c r="DG12" s="806"/>
      <c r="DH12" s="806"/>
      <c r="DI12" s="806"/>
      <c r="DJ12" s="806"/>
      <c r="DK12" s="806"/>
      <c r="DL12" s="806"/>
      <c r="DM12" s="806"/>
      <c r="DN12" s="806"/>
      <c r="DO12" s="806"/>
      <c r="DP12" s="806"/>
      <c r="DQ12" s="806"/>
      <c r="DR12" s="806"/>
      <c r="DS12" s="806"/>
      <c r="DT12" s="806"/>
      <c r="DU12" s="806"/>
      <c r="DV12" s="806"/>
      <c r="DW12" s="806"/>
      <c r="DX12" s="806"/>
      <c r="DY12" s="806"/>
      <c r="DZ12" s="806"/>
      <c r="EA12" s="806"/>
      <c r="EB12" s="806"/>
      <c r="EC12" s="806"/>
      <c r="ED12" s="806"/>
      <c r="EE12" s="806"/>
      <c r="EF12" s="806"/>
      <c r="EG12" s="806"/>
      <c r="EH12" s="806"/>
      <c r="EI12" s="806"/>
      <c r="EJ12" s="806"/>
      <c r="EK12" s="806"/>
      <c r="EL12" s="806"/>
      <c r="EM12" s="806"/>
      <c r="EN12" s="806"/>
      <c r="EO12" s="806"/>
      <c r="EP12" s="806"/>
      <c r="EQ12" s="806"/>
      <c r="ER12" s="806"/>
      <c r="ES12" s="806"/>
      <c r="ET12" s="806"/>
      <c r="EU12" s="806"/>
      <c r="EV12" s="806"/>
      <c r="EW12" s="806"/>
      <c r="EX12" s="806"/>
      <c r="EY12" s="806"/>
      <c r="EZ12" s="806"/>
      <c r="FA12" s="806"/>
      <c r="FB12" s="806"/>
      <c r="FC12" s="806"/>
      <c r="FD12" s="806"/>
      <c r="FE12" s="806"/>
      <c r="FF12" s="806"/>
      <c r="FG12" s="806"/>
      <c r="FH12" s="806"/>
      <c r="FI12" s="806"/>
      <c r="FJ12" s="806"/>
      <c r="FK12" s="806"/>
      <c r="FL12" s="806"/>
      <c r="FM12" s="806"/>
      <c r="FN12" s="806"/>
      <c r="FO12" s="806"/>
      <c r="FP12" s="806"/>
      <c r="FQ12" s="806"/>
      <c r="FR12" s="806"/>
      <c r="FS12" s="806"/>
      <c r="FT12" s="806"/>
      <c r="FU12" s="806"/>
      <c r="FV12" s="806"/>
      <c r="FW12" s="806"/>
      <c r="FX12" s="806"/>
      <c r="FY12" s="806"/>
      <c r="FZ12" s="806"/>
      <c r="GA12" s="806"/>
      <c r="GB12" s="806"/>
      <c r="GC12" s="806"/>
      <c r="GD12" s="806"/>
      <c r="GE12" s="806"/>
      <c r="GF12" s="806"/>
      <c r="GG12" s="806"/>
      <c r="GH12" s="806"/>
      <c r="GI12" s="806"/>
      <c r="GJ12" s="806"/>
      <c r="GK12" s="806"/>
      <c r="GL12" s="806"/>
      <c r="GM12" s="806"/>
      <c r="GN12" s="806"/>
      <c r="GO12" s="806"/>
      <c r="GP12" s="806"/>
      <c r="GQ12" s="806"/>
      <c r="GR12" s="806"/>
      <c r="GS12" s="806"/>
      <c r="GT12" s="806"/>
      <c r="GU12" s="806"/>
      <c r="GV12" s="806"/>
      <c r="GW12" s="806"/>
      <c r="GX12" s="806"/>
      <c r="GY12" s="806"/>
      <c r="GZ12" s="806"/>
      <c r="HA12" s="806"/>
      <c r="HB12" s="806"/>
      <c r="HC12" s="806"/>
      <c r="HD12" s="806"/>
      <c r="HE12" s="806"/>
      <c r="HF12" s="806"/>
      <c r="HG12" s="806"/>
      <c r="HH12" s="806"/>
      <c r="HI12" s="806"/>
      <c r="HJ12" s="806"/>
      <c r="HK12" s="806"/>
      <c r="HL12" s="806"/>
      <c r="HM12" s="806"/>
      <c r="HN12" s="806"/>
      <c r="HO12" s="806"/>
      <c r="HP12" s="806"/>
      <c r="HQ12" s="806"/>
      <c r="HR12" s="806"/>
      <c r="HS12" s="806"/>
      <c r="HT12" s="806"/>
      <c r="HU12" s="806"/>
      <c r="HV12" s="806"/>
      <c r="HW12" s="806"/>
      <c r="HX12" s="806"/>
      <c r="HY12" s="806"/>
      <c r="HZ12" s="806"/>
      <c r="IA12" s="806"/>
      <c r="IB12" s="806"/>
      <c r="IC12" s="806"/>
      <c r="ID12" s="806"/>
      <c r="IE12" s="806"/>
      <c r="IF12" s="806"/>
      <c r="IG12" s="806"/>
      <c r="IH12" s="806"/>
      <c r="II12" s="806"/>
      <c r="IJ12" s="806"/>
      <c r="IK12" s="806"/>
      <c r="IL12" s="806"/>
      <c r="IM12" s="806"/>
      <c r="IN12" s="806"/>
      <c r="IO12" s="806"/>
      <c r="IP12" s="806"/>
      <c r="IQ12" s="806"/>
      <c r="IR12" s="806"/>
      <c r="IS12" s="806"/>
      <c r="IT12" s="806"/>
      <c r="IU12" s="806"/>
      <c r="IV12" s="806"/>
    </row>
    <row r="13" spans="1:256" ht="18" customHeight="1">
      <c r="A13" s="809" t="s">
        <v>227</v>
      </c>
      <c r="B13" s="806"/>
      <c r="C13" s="806"/>
      <c r="D13" s="1217"/>
      <c r="E13" s="1217"/>
      <c r="F13" s="825"/>
      <c r="G13" s="778"/>
      <c r="H13" s="825"/>
      <c r="I13" s="1217"/>
      <c r="J13" s="1217"/>
      <c r="K13" s="1217"/>
      <c r="L13" s="1217"/>
      <c r="M13" s="810"/>
      <c r="N13" s="811"/>
      <c r="O13" s="812"/>
      <c r="P13" s="812"/>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6"/>
      <c r="AQ13" s="806"/>
      <c r="AR13" s="806"/>
      <c r="AS13" s="806"/>
      <c r="AT13" s="806"/>
      <c r="AU13" s="806"/>
      <c r="AV13" s="806"/>
      <c r="AW13" s="806"/>
      <c r="AX13" s="806"/>
      <c r="AY13" s="806"/>
      <c r="AZ13" s="806"/>
      <c r="BA13" s="806"/>
      <c r="BB13" s="806"/>
      <c r="BC13" s="806"/>
      <c r="BD13" s="806"/>
      <c r="BE13" s="806"/>
      <c r="BF13" s="806"/>
      <c r="BG13" s="806"/>
      <c r="BH13" s="806"/>
      <c r="BI13" s="806"/>
      <c r="BJ13" s="806"/>
      <c r="BK13" s="806"/>
      <c r="BL13" s="806"/>
      <c r="BM13" s="806"/>
      <c r="BN13" s="806"/>
      <c r="BO13" s="806"/>
      <c r="BP13" s="806"/>
      <c r="BQ13" s="806"/>
      <c r="BR13" s="806"/>
      <c r="BS13" s="806"/>
      <c r="BT13" s="806"/>
      <c r="BU13" s="806"/>
      <c r="BV13" s="806"/>
      <c r="BW13" s="806"/>
      <c r="BX13" s="806"/>
      <c r="BY13" s="806"/>
      <c r="BZ13" s="806"/>
      <c r="CA13" s="806"/>
      <c r="CB13" s="806"/>
      <c r="CC13" s="806"/>
      <c r="CD13" s="806"/>
      <c r="CE13" s="806"/>
      <c r="CF13" s="806"/>
      <c r="CG13" s="806"/>
      <c r="CH13" s="806"/>
      <c r="CI13" s="806"/>
      <c r="CJ13" s="806"/>
      <c r="CK13" s="806"/>
      <c r="CL13" s="806"/>
      <c r="CM13" s="806"/>
      <c r="CN13" s="806"/>
      <c r="CO13" s="806"/>
      <c r="CP13" s="806"/>
      <c r="CQ13" s="806"/>
      <c r="CR13" s="806"/>
      <c r="CS13" s="806"/>
      <c r="CT13" s="806"/>
      <c r="CU13" s="806"/>
      <c r="CV13" s="806"/>
      <c r="CW13" s="806"/>
      <c r="CX13" s="806"/>
      <c r="CY13" s="806"/>
      <c r="CZ13" s="806"/>
      <c r="DA13" s="806"/>
      <c r="DB13" s="806"/>
      <c r="DC13" s="806"/>
      <c r="DD13" s="806"/>
      <c r="DE13" s="806"/>
      <c r="DF13" s="806"/>
      <c r="DG13" s="806"/>
      <c r="DH13" s="806"/>
      <c r="DI13" s="806"/>
      <c r="DJ13" s="806"/>
      <c r="DK13" s="806"/>
      <c r="DL13" s="806"/>
      <c r="DM13" s="806"/>
      <c r="DN13" s="806"/>
      <c r="DO13" s="806"/>
      <c r="DP13" s="806"/>
      <c r="DQ13" s="806"/>
      <c r="DR13" s="806"/>
      <c r="DS13" s="806"/>
      <c r="DT13" s="806"/>
      <c r="DU13" s="806"/>
      <c r="DV13" s="806"/>
      <c r="DW13" s="806"/>
      <c r="DX13" s="806"/>
      <c r="DY13" s="806"/>
      <c r="DZ13" s="806"/>
      <c r="EA13" s="806"/>
      <c r="EB13" s="806"/>
      <c r="EC13" s="806"/>
      <c r="ED13" s="806"/>
      <c r="EE13" s="806"/>
      <c r="EF13" s="806"/>
      <c r="EG13" s="806"/>
      <c r="EH13" s="806"/>
      <c r="EI13" s="806"/>
      <c r="EJ13" s="806"/>
      <c r="EK13" s="806"/>
      <c r="EL13" s="806"/>
      <c r="EM13" s="806"/>
      <c r="EN13" s="806"/>
      <c r="EO13" s="806"/>
      <c r="EP13" s="806"/>
      <c r="EQ13" s="806"/>
      <c r="ER13" s="806"/>
      <c r="ES13" s="806"/>
      <c r="ET13" s="806"/>
      <c r="EU13" s="806"/>
      <c r="EV13" s="806"/>
      <c r="EW13" s="806"/>
      <c r="EX13" s="806"/>
      <c r="EY13" s="806"/>
      <c r="EZ13" s="806"/>
      <c r="FA13" s="806"/>
      <c r="FB13" s="806"/>
      <c r="FC13" s="806"/>
      <c r="FD13" s="806"/>
      <c r="FE13" s="806"/>
      <c r="FF13" s="806"/>
      <c r="FG13" s="806"/>
      <c r="FH13" s="806"/>
      <c r="FI13" s="806"/>
      <c r="FJ13" s="806"/>
      <c r="FK13" s="806"/>
      <c r="FL13" s="806"/>
      <c r="FM13" s="806"/>
      <c r="FN13" s="806"/>
      <c r="FO13" s="806"/>
      <c r="FP13" s="806"/>
      <c r="FQ13" s="806"/>
      <c r="FR13" s="806"/>
      <c r="FS13" s="806"/>
      <c r="FT13" s="806"/>
      <c r="FU13" s="806"/>
      <c r="FV13" s="806"/>
      <c r="FW13" s="806"/>
      <c r="FX13" s="806"/>
      <c r="FY13" s="806"/>
      <c r="FZ13" s="806"/>
      <c r="GA13" s="806"/>
      <c r="GB13" s="806"/>
      <c r="GC13" s="806"/>
      <c r="GD13" s="806"/>
      <c r="GE13" s="806"/>
      <c r="GF13" s="806"/>
      <c r="GG13" s="806"/>
      <c r="GH13" s="806"/>
      <c r="GI13" s="806"/>
      <c r="GJ13" s="806"/>
      <c r="GK13" s="806"/>
      <c r="GL13" s="806"/>
      <c r="GM13" s="806"/>
      <c r="GN13" s="806"/>
      <c r="GO13" s="806"/>
      <c r="GP13" s="806"/>
      <c r="GQ13" s="806"/>
      <c r="GR13" s="806"/>
      <c r="GS13" s="806"/>
      <c r="GT13" s="806"/>
      <c r="GU13" s="806"/>
      <c r="GV13" s="806"/>
      <c r="GW13" s="806"/>
      <c r="GX13" s="806"/>
      <c r="GY13" s="806"/>
      <c r="GZ13" s="806"/>
      <c r="HA13" s="806"/>
      <c r="HB13" s="806"/>
      <c r="HC13" s="806"/>
      <c r="HD13" s="806"/>
      <c r="HE13" s="806"/>
      <c r="HF13" s="806"/>
      <c r="HG13" s="806"/>
      <c r="HH13" s="806"/>
      <c r="HI13" s="806"/>
      <c r="HJ13" s="806"/>
      <c r="HK13" s="806"/>
      <c r="HL13" s="806"/>
      <c r="HM13" s="806"/>
      <c r="HN13" s="806"/>
      <c r="HO13" s="806"/>
      <c r="HP13" s="806"/>
      <c r="HQ13" s="806"/>
      <c r="HR13" s="806"/>
      <c r="HS13" s="806"/>
      <c r="HT13" s="806"/>
      <c r="HU13" s="806"/>
      <c r="HV13" s="806"/>
      <c r="HW13" s="806"/>
      <c r="HX13" s="806"/>
      <c r="HY13" s="806"/>
      <c r="HZ13" s="806"/>
      <c r="IA13" s="806"/>
      <c r="IB13" s="806"/>
      <c r="IC13" s="806"/>
      <c r="ID13" s="806"/>
      <c r="IE13" s="806"/>
      <c r="IF13" s="806"/>
      <c r="IG13" s="806"/>
      <c r="IH13" s="806"/>
      <c r="II13" s="806"/>
      <c r="IJ13" s="806"/>
      <c r="IK13" s="806"/>
      <c r="IL13" s="806"/>
      <c r="IM13" s="806"/>
      <c r="IN13" s="806"/>
      <c r="IO13" s="806"/>
      <c r="IP13" s="806"/>
      <c r="IQ13" s="806"/>
      <c r="IR13" s="806"/>
      <c r="IS13" s="806"/>
      <c r="IT13" s="806"/>
      <c r="IU13" s="806"/>
      <c r="IV13" s="806"/>
    </row>
    <row r="14" spans="1:256" ht="7.5" customHeight="1">
      <c r="A14" s="802"/>
      <c r="B14" s="806"/>
      <c r="C14" s="806"/>
      <c r="D14" s="1217"/>
      <c r="E14" s="1217"/>
      <c r="F14" s="1217"/>
      <c r="G14" s="1217"/>
      <c r="H14" s="1217"/>
      <c r="I14" s="1217"/>
      <c r="J14" s="1217"/>
      <c r="K14" s="1217"/>
      <c r="L14" s="1217"/>
      <c r="M14" s="810"/>
      <c r="N14" s="811"/>
      <c r="O14" s="812"/>
      <c r="P14" s="812"/>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6"/>
      <c r="AY14" s="806"/>
      <c r="AZ14" s="806"/>
      <c r="BA14" s="806"/>
      <c r="BB14" s="806"/>
      <c r="BC14" s="806"/>
      <c r="BD14" s="806"/>
      <c r="BE14" s="806"/>
      <c r="BF14" s="806"/>
      <c r="BG14" s="806"/>
      <c r="BH14" s="806"/>
      <c r="BI14" s="806"/>
      <c r="BJ14" s="806"/>
      <c r="BK14" s="806"/>
      <c r="BL14" s="806"/>
      <c r="BM14" s="806"/>
      <c r="BN14" s="806"/>
      <c r="BO14" s="806"/>
      <c r="BP14" s="806"/>
      <c r="BQ14" s="806"/>
      <c r="BR14" s="806"/>
      <c r="BS14" s="806"/>
      <c r="BT14" s="806"/>
      <c r="BU14" s="806"/>
      <c r="BV14" s="806"/>
      <c r="BW14" s="806"/>
      <c r="BX14" s="806"/>
      <c r="BY14" s="806"/>
      <c r="BZ14" s="806"/>
      <c r="CA14" s="806"/>
      <c r="CB14" s="806"/>
      <c r="CC14" s="806"/>
      <c r="CD14" s="806"/>
      <c r="CE14" s="806"/>
      <c r="CF14" s="806"/>
      <c r="CG14" s="806"/>
      <c r="CH14" s="806"/>
      <c r="CI14" s="806"/>
      <c r="CJ14" s="806"/>
      <c r="CK14" s="806"/>
      <c r="CL14" s="806"/>
      <c r="CM14" s="806"/>
      <c r="CN14" s="806"/>
      <c r="CO14" s="806"/>
      <c r="CP14" s="806"/>
      <c r="CQ14" s="806"/>
      <c r="CR14" s="806"/>
      <c r="CS14" s="806"/>
      <c r="CT14" s="806"/>
      <c r="CU14" s="806"/>
      <c r="CV14" s="806"/>
      <c r="CW14" s="806"/>
      <c r="CX14" s="806"/>
      <c r="CY14" s="806"/>
      <c r="CZ14" s="806"/>
      <c r="DA14" s="806"/>
      <c r="DB14" s="806"/>
      <c r="DC14" s="806"/>
      <c r="DD14" s="806"/>
      <c r="DE14" s="806"/>
      <c r="DF14" s="806"/>
      <c r="DG14" s="806"/>
      <c r="DH14" s="806"/>
      <c r="DI14" s="806"/>
      <c r="DJ14" s="806"/>
      <c r="DK14" s="806"/>
      <c r="DL14" s="806"/>
      <c r="DM14" s="806"/>
      <c r="DN14" s="806"/>
      <c r="DO14" s="806"/>
      <c r="DP14" s="806"/>
      <c r="DQ14" s="806"/>
      <c r="DR14" s="806"/>
      <c r="DS14" s="806"/>
      <c r="DT14" s="806"/>
      <c r="DU14" s="806"/>
      <c r="DV14" s="806"/>
      <c r="DW14" s="806"/>
      <c r="DX14" s="806"/>
      <c r="DY14" s="806"/>
      <c r="DZ14" s="806"/>
      <c r="EA14" s="806"/>
      <c r="EB14" s="806"/>
      <c r="EC14" s="806"/>
      <c r="ED14" s="806"/>
      <c r="EE14" s="806"/>
      <c r="EF14" s="806"/>
      <c r="EG14" s="806"/>
      <c r="EH14" s="806"/>
      <c r="EI14" s="806"/>
      <c r="EJ14" s="806"/>
      <c r="EK14" s="806"/>
      <c r="EL14" s="806"/>
      <c r="EM14" s="806"/>
      <c r="EN14" s="806"/>
      <c r="EO14" s="806"/>
      <c r="EP14" s="806"/>
      <c r="EQ14" s="806"/>
      <c r="ER14" s="806"/>
      <c r="ES14" s="806"/>
      <c r="ET14" s="806"/>
      <c r="EU14" s="806"/>
      <c r="EV14" s="806"/>
      <c r="EW14" s="806"/>
      <c r="EX14" s="806"/>
      <c r="EY14" s="806"/>
      <c r="EZ14" s="806"/>
      <c r="FA14" s="806"/>
      <c r="FB14" s="806"/>
      <c r="FC14" s="806"/>
      <c r="FD14" s="806"/>
      <c r="FE14" s="806"/>
      <c r="FF14" s="806"/>
      <c r="FG14" s="806"/>
      <c r="FH14" s="806"/>
      <c r="FI14" s="806"/>
      <c r="FJ14" s="806"/>
      <c r="FK14" s="806"/>
      <c r="FL14" s="806"/>
      <c r="FM14" s="806"/>
      <c r="FN14" s="806"/>
      <c r="FO14" s="806"/>
      <c r="FP14" s="806"/>
      <c r="FQ14" s="806"/>
      <c r="FR14" s="806"/>
      <c r="FS14" s="806"/>
      <c r="FT14" s="806"/>
      <c r="FU14" s="806"/>
      <c r="FV14" s="806"/>
      <c r="FW14" s="806"/>
      <c r="FX14" s="806"/>
      <c r="FY14" s="806"/>
      <c r="FZ14" s="806"/>
      <c r="GA14" s="806"/>
      <c r="GB14" s="806"/>
      <c r="GC14" s="806"/>
      <c r="GD14" s="806"/>
      <c r="GE14" s="806"/>
      <c r="GF14" s="806"/>
      <c r="GG14" s="806"/>
      <c r="GH14" s="806"/>
      <c r="GI14" s="806"/>
      <c r="GJ14" s="806"/>
      <c r="GK14" s="806"/>
      <c r="GL14" s="806"/>
      <c r="GM14" s="806"/>
      <c r="GN14" s="806"/>
      <c r="GO14" s="806"/>
      <c r="GP14" s="806"/>
      <c r="GQ14" s="806"/>
      <c r="GR14" s="806"/>
      <c r="GS14" s="806"/>
      <c r="GT14" s="806"/>
      <c r="GU14" s="806"/>
      <c r="GV14" s="806"/>
      <c r="GW14" s="806"/>
      <c r="GX14" s="806"/>
      <c r="GY14" s="806"/>
      <c r="GZ14" s="806"/>
      <c r="HA14" s="806"/>
      <c r="HB14" s="806"/>
      <c r="HC14" s="806"/>
      <c r="HD14" s="806"/>
      <c r="HE14" s="806"/>
      <c r="HF14" s="806"/>
      <c r="HG14" s="806"/>
      <c r="HH14" s="806"/>
      <c r="HI14" s="806"/>
      <c r="HJ14" s="806"/>
      <c r="HK14" s="806"/>
      <c r="HL14" s="806"/>
      <c r="HM14" s="806"/>
      <c r="HN14" s="806"/>
      <c r="HO14" s="806"/>
      <c r="HP14" s="806"/>
      <c r="HQ14" s="806"/>
      <c r="HR14" s="806"/>
      <c r="HS14" s="806"/>
      <c r="HT14" s="806"/>
      <c r="HU14" s="806"/>
      <c r="HV14" s="806"/>
      <c r="HW14" s="806"/>
      <c r="HX14" s="806"/>
      <c r="HY14" s="806"/>
      <c r="HZ14" s="806"/>
      <c r="IA14" s="806"/>
      <c r="IB14" s="806"/>
      <c r="IC14" s="806"/>
      <c r="ID14" s="806"/>
      <c r="IE14" s="806"/>
      <c r="IF14" s="806"/>
      <c r="IG14" s="806"/>
      <c r="IH14" s="806"/>
      <c r="II14" s="806"/>
      <c r="IJ14" s="806"/>
      <c r="IK14" s="806"/>
      <c r="IL14" s="806"/>
      <c r="IM14" s="806"/>
      <c r="IN14" s="806"/>
      <c r="IO14" s="806"/>
      <c r="IP14" s="806"/>
      <c r="IQ14" s="806"/>
      <c r="IR14" s="806"/>
      <c r="IS14" s="806"/>
      <c r="IT14" s="806"/>
      <c r="IU14" s="806"/>
      <c r="IV14" s="806"/>
    </row>
    <row r="15" spans="1:256" ht="15.75" customHeight="1">
      <c r="A15" s="806" t="s">
        <v>1113</v>
      </c>
      <c r="B15" s="806"/>
      <c r="C15" s="806"/>
      <c r="D15" s="2804">
        <v>-1.982</v>
      </c>
      <c r="E15" s="2799"/>
      <c r="F15" s="2798">
        <v>5.1890000000000001</v>
      </c>
      <c r="G15" s="2799"/>
      <c r="H15" s="2798">
        <v>5.9950000000000001</v>
      </c>
      <c r="I15" s="2799"/>
      <c r="J15" s="2798">
        <v>0</v>
      </c>
      <c r="K15" s="2800"/>
      <c r="L15" s="2801">
        <f>ROUND(SUM(D15)+SUM(F15)-SUM(H15)+SUM(J15),3)</f>
        <v>-2.7879999999999998</v>
      </c>
      <c r="M15" s="810"/>
      <c r="N15" s="811"/>
      <c r="O15" s="812"/>
      <c r="P15" s="812"/>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6"/>
      <c r="AY15" s="806"/>
      <c r="AZ15" s="806"/>
      <c r="BA15" s="806"/>
      <c r="BB15" s="806"/>
      <c r="BC15" s="806"/>
      <c r="BD15" s="806"/>
      <c r="BE15" s="806"/>
      <c r="BF15" s="806"/>
      <c r="BG15" s="806"/>
      <c r="BH15" s="806"/>
      <c r="BI15" s="806"/>
      <c r="BJ15" s="806"/>
      <c r="BK15" s="806"/>
      <c r="BL15" s="806"/>
      <c r="BM15" s="806"/>
      <c r="BN15" s="806"/>
      <c r="BO15" s="806"/>
      <c r="BP15" s="806"/>
      <c r="BQ15" s="806"/>
      <c r="BR15" s="806"/>
      <c r="BS15" s="806"/>
      <c r="BT15" s="806"/>
      <c r="BU15" s="806"/>
      <c r="BV15" s="806"/>
      <c r="BW15" s="806"/>
      <c r="BX15" s="806"/>
      <c r="BY15" s="806"/>
      <c r="BZ15" s="806"/>
      <c r="CA15" s="806"/>
      <c r="CB15" s="806"/>
      <c r="CC15" s="806"/>
      <c r="CD15" s="806"/>
      <c r="CE15" s="806"/>
      <c r="CF15" s="806"/>
      <c r="CG15" s="806"/>
      <c r="CH15" s="806"/>
      <c r="CI15" s="806"/>
      <c r="CJ15" s="806"/>
      <c r="CK15" s="806"/>
      <c r="CL15" s="806"/>
      <c r="CM15" s="806"/>
      <c r="CN15" s="806"/>
      <c r="CO15" s="806"/>
      <c r="CP15" s="806"/>
      <c r="CQ15" s="806"/>
      <c r="CR15" s="806"/>
      <c r="CS15" s="806"/>
      <c r="CT15" s="806"/>
      <c r="CU15" s="806"/>
      <c r="CV15" s="806"/>
      <c r="CW15" s="806"/>
      <c r="CX15" s="806"/>
      <c r="CY15" s="806"/>
      <c r="CZ15" s="806"/>
      <c r="DA15" s="806"/>
      <c r="DB15" s="806"/>
      <c r="DC15" s="806"/>
      <c r="DD15" s="806"/>
      <c r="DE15" s="806"/>
      <c r="DF15" s="806"/>
      <c r="DG15" s="806"/>
      <c r="DH15" s="806"/>
      <c r="DI15" s="806"/>
      <c r="DJ15" s="806"/>
      <c r="DK15" s="806"/>
      <c r="DL15" s="806"/>
      <c r="DM15" s="806"/>
      <c r="DN15" s="806"/>
      <c r="DO15" s="806"/>
      <c r="DP15" s="806"/>
      <c r="DQ15" s="806"/>
      <c r="DR15" s="806"/>
      <c r="DS15" s="806"/>
      <c r="DT15" s="806"/>
      <c r="DU15" s="806"/>
      <c r="DV15" s="806"/>
      <c r="DW15" s="806"/>
      <c r="DX15" s="806"/>
      <c r="DY15" s="806"/>
      <c r="DZ15" s="806"/>
      <c r="EA15" s="806"/>
      <c r="EB15" s="806"/>
      <c r="EC15" s="806"/>
      <c r="ED15" s="806"/>
      <c r="EE15" s="806"/>
      <c r="EF15" s="806"/>
      <c r="EG15" s="806"/>
      <c r="EH15" s="806"/>
      <c r="EI15" s="806"/>
      <c r="EJ15" s="806"/>
      <c r="EK15" s="806"/>
      <c r="EL15" s="806"/>
      <c r="EM15" s="806"/>
      <c r="EN15" s="806"/>
      <c r="EO15" s="806"/>
      <c r="EP15" s="806"/>
      <c r="EQ15" s="806"/>
      <c r="ER15" s="806"/>
      <c r="ES15" s="806"/>
      <c r="ET15" s="806"/>
      <c r="EU15" s="806"/>
      <c r="EV15" s="806"/>
      <c r="EW15" s="806"/>
      <c r="EX15" s="806"/>
      <c r="EY15" s="806"/>
      <c r="EZ15" s="806"/>
      <c r="FA15" s="806"/>
      <c r="FB15" s="806"/>
      <c r="FC15" s="806"/>
      <c r="FD15" s="806"/>
      <c r="FE15" s="806"/>
      <c r="FF15" s="806"/>
      <c r="FG15" s="806"/>
      <c r="FH15" s="806"/>
      <c r="FI15" s="806"/>
      <c r="FJ15" s="806"/>
      <c r="FK15" s="806"/>
      <c r="FL15" s="806"/>
      <c r="FM15" s="806"/>
      <c r="FN15" s="806"/>
      <c r="FO15" s="806"/>
      <c r="FP15" s="806"/>
      <c r="FQ15" s="806"/>
      <c r="FR15" s="806"/>
      <c r="FS15" s="806"/>
      <c r="FT15" s="806"/>
      <c r="FU15" s="806"/>
      <c r="FV15" s="806"/>
      <c r="FW15" s="806"/>
      <c r="FX15" s="806"/>
      <c r="FY15" s="806"/>
      <c r="FZ15" s="806"/>
      <c r="GA15" s="806"/>
      <c r="GB15" s="806"/>
      <c r="GC15" s="806"/>
      <c r="GD15" s="806"/>
      <c r="GE15" s="806"/>
      <c r="GF15" s="806"/>
      <c r="GG15" s="806"/>
      <c r="GH15" s="806"/>
      <c r="GI15" s="806"/>
      <c r="GJ15" s="806"/>
      <c r="GK15" s="806"/>
      <c r="GL15" s="806"/>
      <c r="GM15" s="806"/>
      <c r="GN15" s="806"/>
      <c r="GO15" s="806"/>
      <c r="GP15" s="806"/>
      <c r="GQ15" s="806"/>
      <c r="GR15" s="806"/>
      <c r="GS15" s="806"/>
      <c r="GT15" s="806"/>
      <c r="GU15" s="806"/>
      <c r="GV15" s="806"/>
      <c r="GW15" s="806"/>
      <c r="GX15" s="806"/>
      <c r="GY15" s="806"/>
      <c r="GZ15" s="806"/>
      <c r="HA15" s="806"/>
      <c r="HB15" s="806"/>
      <c r="HC15" s="806"/>
      <c r="HD15" s="806"/>
      <c r="HE15" s="806"/>
      <c r="HF15" s="806"/>
      <c r="HG15" s="806"/>
      <c r="HH15" s="806"/>
      <c r="HI15" s="806"/>
      <c r="HJ15" s="806"/>
      <c r="HK15" s="806"/>
      <c r="HL15" s="806"/>
      <c r="HM15" s="806"/>
      <c r="HN15" s="806"/>
      <c r="HO15" s="806"/>
      <c r="HP15" s="806"/>
      <c r="HQ15" s="806"/>
      <c r="HR15" s="806"/>
      <c r="HS15" s="806"/>
      <c r="HT15" s="806"/>
      <c r="HU15" s="806"/>
      <c r="HV15" s="806"/>
      <c r="HW15" s="806"/>
      <c r="HX15" s="806"/>
      <c r="HY15" s="806"/>
      <c r="HZ15" s="806"/>
      <c r="IA15" s="806"/>
      <c r="IB15" s="806"/>
      <c r="IC15" s="806"/>
      <c r="ID15" s="806"/>
      <c r="IE15" s="806"/>
      <c r="IF15" s="806"/>
      <c r="IG15" s="806"/>
      <c r="IH15" s="806"/>
      <c r="II15" s="806"/>
      <c r="IJ15" s="806"/>
      <c r="IK15" s="806"/>
      <c r="IL15" s="806"/>
      <c r="IM15" s="806"/>
      <c r="IN15" s="806"/>
      <c r="IO15" s="806"/>
      <c r="IP15" s="806"/>
      <c r="IQ15" s="806"/>
      <c r="IR15" s="806"/>
      <c r="IS15" s="806"/>
      <c r="IT15" s="806"/>
      <c r="IU15" s="806"/>
      <c r="IV15" s="806"/>
    </row>
    <row r="16" spans="1:256" ht="6.75" customHeight="1">
      <c r="A16" s="802"/>
      <c r="B16" s="806"/>
      <c r="C16" s="806"/>
      <c r="D16" s="1218" t="s">
        <v>15</v>
      </c>
      <c r="E16" s="1219"/>
      <c r="F16" s="1220" t="s">
        <v>15</v>
      </c>
      <c r="G16" s="1219"/>
      <c r="H16" s="1220" t="s">
        <v>15</v>
      </c>
      <c r="I16" s="1219"/>
      <c r="J16" s="1221" t="s">
        <v>15</v>
      </c>
      <c r="K16" s="1219"/>
      <c r="L16" s="1222" t="s">
        <v>15</v>
      </c>
      <c r="M16" s="813"/>
      <c r="N16" s="806"/>
      <c r="O16" s="812"/>
      <c r="P16" s="812"/>
      <c r="Q16" s="806"/>
      <c r="R16" s="806"/>
      <c r="S16" s="806"/>
      <c r="T16" s="806"/>
      <c r="U16" s="806"/>
      <c r="V16" s="806"/>
      <c r="W16" s="806"/>
      <c r="X16" s="806"/>
      <c r="Y16" s="806"/>
      <c r="Z16" s="806"/>
      <c r="AA16" s="806"/>
      <c r="AB16" s="806"/>
      <c r="AC16" s="806"/>
      <c r="AD16" s="806"/>
      <c r="AE16" s="806"/>
      <c r="AF16" s="806"/>
      <c r="AG16" s="806"/>
      <c r="AH16" s="806"/>
      <c r="AI16" s="806"/>
      <c r="AJ16" s="806"/>
      <c r="AK16" s="806"/>
      <c r="AL16" s="806"/>
      <c r="AM16" s="806"/>
      <c r="AN16" s="806"/>
      <c r="AO16" s="806"/>
      <c r="AP16" s="806"/>
      <c r="AQ16" s="806"/>
      <c r="AR16" s="806"/>
      <c r="AS16" s="806"/>
      <c r="AT16" s="806"/>
      <c r="AU16" s="806"/>
      <c r="AV16" s="806"/>
      <c r="AW16" s="806"/>
      <c r="AX16" s="806"/>
      <c r="AY16" s="806"/>
      <c r="AZ16" s="806"/>
      <c r="BA16" s="806"/>
      <c r="BB16" s="806"/>
      <c r="BC16" s="806"/>
      <c r="BD16" s="806"/>
      <c r="BE16" s="806"/>
      <c r="BF16" s="806"/>
      <c r="BG16" s="806"/>
      <c r="BH16" s="806"/>
      <c r="BI16" s="806"/>
      <c r="BJ16" s="806"/>
      <c r="BK16" s="806"/>
      <c r="BL16" s="806"/>
      <c r="BM16" s="806"/>
      <c r="BN16" s="806"/>
      <c r="BO16" s="806"/>
      <c r="BP16" s="806"/>
      <c r="BQ16" s="806"/>
      <c r="BR16" s="806"/>
      <c r="BS16" s="806"/>
      <c r="BT16" s="806"/>
      <c r="BU16" s="806"/>
      <c r="BV16" s="806"/>
      <c r="BW16" s="806"/>
      <c r="BX16" s="806"/>
      <c r="BY16" s="806"/>
      <c r="BZ16" s="806"/>
      <c r="CA16" s="806"/>
      <c r="CB16" s="806"/>
      <c r="CC16" s="806"/>
      <c r="CD16" s="806"/>
      <c r="CE16" s="806"/>
      <c r="CF16" s="806"/>
      <c r="CG16" s="806"/>
      <c r="CH16" s="806"/>
      <c r="CI16" s="806"/>
      <c r="CJ16" s="806"/>
      <c r="CK16" s="806"/>
      <c r="CL16" s="806"/>
      <c r="CM16" s="806"/>
      <c r="CN16" s="806"/>
      <c r="CO16" s="806"/>
      <c r="CP16" s="806"/>
      <c r="CQ16" s="806"/>
      <c r="CR16" s="806"/>
      <c r="CS16" s="806"/>
      <c r="CT16" s="806"/>
      <c r="CU16" s="806"/>
      <c r="CV16" s="806"/>
      <c r="CW16" s="806"/>
      <c r="CX16" s="806"/>
      <c r="CY16" s="806"/>
      <c r="CZ16" s="806"/>
      <c r="DA16" s="806"/>
      <c r="DB16" s="806"/>
      <c r="DC16" s="806"/>
      <c r="DD16" s="806"/>
      <c r="DE16" s="806"/>
      <c r="DF16" s="806"/>
      <c r="DG16" s="806"/>
      <c r="DH16" s="806"/>
      <c r="DI16" s="806"/>
      <c r="DJ16" s="806"/>
      <c r="DK16" s="806"/>
      <c r="DL16" s="806"/>
      <c r="DM16" s="806"/>
      <c r="DN16" s="806"/>
      <c r="DO16" s="806"/>
      <c r="DP16" s="806"/>
      <c r="DQ16" s="806"/>
      <c r="DR16" s="806"/>
      <c r="DS16" s="806"/>
      <c r="DT16" s="806"/>
      <c r="DU16" s="806"/>
      <c r="DV16" s="806"/>
      <c r="DW16" s="806"/>
      <c r="DX16" s="806"/>
      <c r="DY16" s="806"/>
      <c r="DZ16" s="806"/>
      <c r="EA16" s="806"/>
      <c r="EB16" s="806"/>
      <c r="EC16" s="806"/>
      <c r="ED16" s="806"/>
      <c r="EE16" s="806"/>
      <c r="EF16" s="806"/>
      <c r="EG16" s="806"/>
      <c r="EH16" s="806"/>
      <c r="EI16" s="806"/>
      <c r="EJ16" s="806"/>
      <c r="EK16" s="806"/>
      <c r="EL16" s="806"/>
      <c r="EM16" s="806"/>
      <c r="EN16" s="806"/>
      <c r="EO16" s="806"/>
      <c r="EP16" s="806"/>
      <c r="EQ16" s="806"/>
      <c r="ER16" s="806"/>
      <c r="ES16" s="806"/>
      <c r="ET16" s="806"/>
      <c r="EU16" s="806"/>
      <c r="EV16" s="806"/>
      <c r="EW16" s="806"/>
      <c r="EX16" s="806"/>
      <c r="EY16" s="806"/>
      <c r="EZ16" s="806"/>
      <c r="FA16" s="806"/>
      <c r="FB16" s="806"/>
      <c r="FC16" s="806"/>
      <c r="FD16" s="806"/>
      <c r="FE16" s="806"/>
      <c r="FF16" s="806"/>
      <c r="FG16" s="806"/>
      <c r="FH16" s="806"/>
      <c r="FI16" s="806"/>
      <c r="FJ16" s="806"/>
      <c r="FK16" s="806"/>
      <c r="FL16" s="806"/>
      <c r="FM16" s="806"/>
      <c r="FN16" s="806"/>
      <c r="FO16" s="806"/>
      <c r="FP16" s="806"/>
      <c r="FQ16" s="806"/>
      <c r="FR16" s="806"/>
      <c r="FS16" s="806"/>
      <c r="FT16" s="806"/>
      <c r="FU16" s="806"/>
      <c r="FV16" s="806"/>
      <c r="FW16" s="806"/>
      <c r="FX16" s="806"/>
      <c r="FY16" s="806"/>
      <c r="FZ16" s="806"/>
      <c r="GA16" s="806"/>
      <c r="GB16" s="806"/>
      <c r="GC16" s="806"/>
      <c r="GD16" s="806"/>
      <c r="GE16" s="806"/>
      <c r="GF16" s="806"/>
      <c r="GG16" s="806"/>
      <c r="GH16" s="806"/>
      <c r="GI16" s="806"/>
      <c r="GJ16" s="806"/>
      <c r="GK16" s="806"/>
      <c r="GL16" s="806"/>
      <c r="GM16" s="806"/>
      <c r="GN16" s="806"/>
      <c r="GO16" s="806"/>
      <c r="GP16" s="806"/>
      <c r="GQ16" s="806"/>
      <c r="GR16" s="806"/>
      <c r="GS16" s="806"/>
      <c r="GT16" s="806"/>
      <c r="GU16" s="806"/>
      <c r="GV16" s="806"/>
      <c r="GW16" s="806"/>
      <c r="GX16" s="806"/>
      <c r="GY16" s="806"/>
      <c r="GZ16" s="806"/>
      <c r="HA16" s="806"/>
      <c r="HB16" s="806"/>
      <c r="HC16" s="806"/>
      <c r="HD16" s="806"/>
      <c r="HE16" s="806"/>
      <c r="HF16" s="806"/>
      <c r="HG16" s="806"/>
      <c r="HH16" s="806"/>
      <c r="HI16" s="806"/>
      <c r="HJ16" s="806"/>
      <c r="HK16" s="806"/>
      <c r="HL16" s="806"/>
      <c r="HM16" s="806"/>
      <c r="HN16" s="806"/>
      <c r="HO16" s="806"/>
      <c r="HP16" s="806"/>
      <c r="HQ16" s="806"/>
      <c r="HR16" s="806"/>
      <c r="HS16" s="806"/>
      <c r="HT16" s="806"/>
      <c r="HU16" s="806"/>
      <c r="HV16" s="806"/>
      <c r="HW16" s="806"/>
      <c r="HX16" s="806"/>
      <c r="HY16" s="806"/>
      <c r="HZ16" s="806"/>
      <c r="IA16" s="806"/>
      <c r="IB16" s="806"/>
      <c r="IC16" s="806"/>
      <c r="ID16" s="806"/>
      <c r="IE16" s="806"/>
      <c r="IF16" s="806"/>
      <c r="IG16" s="806"/>
      <c r="IH16" s="806"/>
      <c r="II16" s="806"/>
      <c r="IJ16" s="806"/>
      <c r="IK16" s="806"/>
      <c r="IL16" s="806"/>
      <c r="IM16" s="806"/>
      <c r="IN16" s="806"/>
      <c r="IO16" s="806"/>
      <c r="IP16" s="806"/>
      <c r="IQ16" s="806"/>
      <c r="IR16" s="806"/>
      <c r="IS16" s="806"/>
      <c r="IT16" s="806"/>
      <c r="IU16" s="806"/>
      <c r="IV16" s="806"/>
    </row>
    <row r="17" spans="1:256" ht="17.25" customHeight="1">
      <c r="A17" s="802" t="s">
        <v>378</v>
      </c>
      <c r="B17" s="806"/>
      <c r="C17" s="806"/>
      <c r="D17" s="1223">
        <f>ROUND(SUM(D15),3)</f>
        <v>-1.982</v>
      </c>
      <c r="E17" s="1224"/>
      <c r="F17" s="1223">
        <f>ROUND(SUM(F15),3)</f>
        <v>5.1890000000000001</v>
      </c>
      <c r="G17" s="1224"/>
      <c r="H17" s="1223">
        <f>ROUND(SUM(H15),3)</f>
        <v>5.9950000000000001</v>
      </c>
      <c r="I17" s="1224"/>
      <c r="J17" s="1547">
        <f>ROUND(SUM(J15),3)</f>
        <v>0</v>
      </c>
      <c r="K17" s="1224"/>
      <c r="L17" s="1223">
        <f>ROUND(SUM(L15),3)</f>
        <v>-2.7879999999999998</v>
      </c>
      <c r="M17" s="814"/>
      <c r="N17" s="806"/>
      <c r="O17" s="812"/>
      <c r="P17" s="812"/>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806"/>
      <c r="AO17" s="806"/>
      <c r="AP17" s="806"/>
      <c r="AQ17" s="806"/>
      <c r="AR17" s="806"/>
      <c r="AS17" s="806"/>
      <c r="AT17" s="806"/>
      <c r="AU17" s="806"/>
      <c r="AV17" s="806"/>
      <c r="AW17" s="806"/>
      <c r="AX17" s="806"/>
      <c r="AY17" s="806"/>
      <c r="AZ17" s="806"/>
      <c r="BA17" s="806"/>
      <c r="BB17" s="806"/>
      <c r="BC17" s="806"/>
      <c r="BD17" s="806"/>
      <c r="BE17" s="806"/>
      <c r="BF17" s="806"/>
      <c r="BG17" s="806"/>
      <c r="BH17" s="806"/>
      <c r="BI17" s="806"/>
      <c r="BJ17" s="806"/>
      <c r="BK17" s="806"/>
      <c r="BL17" s="806"/>
      <c r="BM17" s="806"/>
      <c r="BN17" s="806"/>
      <c r="BO17" s="806"/>
      <c r="BP17" s="806"/>
      <c r="BQ17" s="806"/>
      <c r="BR17" s="806"/>
      <c r="BS17" s="806"/>
      <c r="BT17" s="806"/>
      <c r="BU17" s="806"/>
      <c r="BV17" s="806"/>
      <c r="BW17" s="806"/>
      <c r="BX17" s="806"/>
      <c r="BY17" s="806"/>
      <c r="BZ17" s="806"/>
      <c r="CA17" s="806"/>
      <c r="CB17" s="806"/>
      <c r="CC17" s="806"/>
      <c r="CD17" s="806"/>
      <c r="CE17" s="806"/>
      <c r="CF17" s="806"/>
      <c r="CG17" s="806"/>
      <c r="CH17" s="806"/>
      <c r="CI17" s="806"/>
      <c r="CJ17" s="806"/>
      <c r="CK17" s="806"/>
      <c r="CL17" s="806"/>
      <c r="CM17" s="806"/>
      <c r="CN17" s="806"/>
      <c r="CO17" s="806"/>
      <c r="CP17" s="806"/>
      <c r="CQ17" s="806"/>
      <c r="CR17" s="806"/>
      <c r="CS17" s="806"/>
      <c r="CT17" s="806"/>
      <c r="CU17" s="806"/>
      <c r="CV17" s="806"/>
      <c r="CW17" s="806"/>
      <c r="CX17" s="806"/>
      <c r="CY17" s="806"/>
      <c r="CZ17" s="806"/>
      <c r="DA17" s="806"/>
      <c r="DB17" s="806"/>
      <c r="DC17" s="806"/>
      <c r="DD17" s="806"/>
      <c r="DE17" s="806"/>
      <c r="DF17" s="806"/>
      <c r="DG17" s="806"/>
      <c r="DH17" s="806"/>
      <c r="DI17" s="806"/>
      <c r="DJ17" s="806"/>
      <c r="DK17" s="806"/>
      <c r="DL17" s="806"/>
      <c r="DM17" s="806"/>
      <c r="DN17" s="806"/>
      <c r="DO17" s="806"/>
      <c r="DP17" s="806"/>
      <c r="DQ17" s="806"/>
      <c r="DR17" s="806"/>
      <c r="DS17" s="806"/>
      <c r="DT17" s="806"/>
      <c r="DU17" s="806"/>
      <c r="DV17" s="806"/>
      <c r="DW17" s="806"/>
      <c r="DX17" s="806"/>
      <c r="DY17" s="806"/>
      <c r="DZ17" s="806"/>
      <c r="EA17" s="806"/>
      <c r="EB17" s="806"/>
      <c r="EC17" s="806"/>
      <c r="ED17" s="806"/>
      <c r="EE17" s="806"/>
      <c r="EF17" s="806"/>
      <c r="EG17" s="806"/>
      <c r="EH17" s="806"/>
      <c r="EI17" s="806"/>
      <c r="EJ17" s="806"/>
      <c r="EK17" s="806"/>
      <c r="EL17" s="806"/>
      <c r="EM17" s="806"/>
      <c r="EN17" s="806"/>
      <c r="EO17" s="806"/>
      <c r="EP17" s="806"/>
      <c r="EQ17" s="806"/>
      <c r="ER17" s="806"/>
      <c r="ES17" s="806"/>
      <c r="ET17" s="806"/>
      <c r="EU17" s="806"/>
      <c r="EV17" s="806"/>
      <c r="EW17" s="806"/>
      <c r="EX17" s="806"/>
      <c r="EY17" s="806"/>
      <c r="EZ17" s="806"/>
      <c r="FA17" s="806"/>
      <c r="FB17" s="806"/>
      <c r="FC17" s="806"/>
      <c r="FD17" s="806"/>
      <c r="FE17" s="806"/>
      <c r="FF17" s="806"/>
      <c r="FG17" s="806"/>
      <c r="FH17" s="806"/>
      <c r="FI17" s="806"/>
      <c r="FJ17" s="806"/>
      <c r="FK17" s="806"/>
      <c r="FL17" s="806"/>
      <c r="FM17" s="806"/>
      <c r="FN17" s="806"/>
      <c r="FO17" s="806"/>
      <c r="FP17" s="806"/>
      <c r="FQ17" s="806"/>
      <c r="FR17" s="806"/>
      <c r="FS17" s="806"/>
      <c r="FT17" s="806"/>
      <c r="FU17" s="806"/>
      <c r="FV17" s="806"/>
      <c r="FW17" s="806"/>
      <c r="FX17" s="806"/>
      <c r="FY17" s="806"/>
      <c r="FZ17" s="806"/>
      <c r="GA17" s="806"/>
      <c r="GB17" s="806"/>
      <c r="GC17" s="806"/>
      <c r="GD17" s="806"/>
      <c r="GE17" s="806"/>
      <c r="GF17" s="806"/>
      <c r="GG17" s="806"/>
      <c r="GH17" s="806"/>
      <c r="GI17" s="806"/>
      <c r="GJ17" s="806"/>
      <c r="GK17" s="806"/>
      <c r="GL17" s="806"/>
      <c r="GM17" s="806"/>
      <c r="GN17" s="806"/>
      <c r="GO17" s="806"/>
      <c r="GP17" s="806"/>
      <c r="GQ17" s="806"/>
      <c r="GR17" s="806"/>
      <c r="GS17" s="806"/>
      <c r="GT17" s="806"/>
      <c r="GU17" s="806"/>
      <c r="GV17" s="806"/>
      <c r="GW17" s="806"/>
      <c r="GX17" s="806"/>
      <c r="GY17" s="806"/>
      <c r="GZ17" s="806"/>
      <c r="HA17" s="806"/>
      <c r="HB17" s="806"/>
      <c r="HC17" s="806"/>
      <c r="HD17" s="806"/>
      <c r="HE17" s="806"/>
      <c r="HF17" s="806"/>
      <c r="HG17" s="806"/>
      <c r="HH17" s="806"/>
      <c r="HI17" s="806"/>
      <c r="HJ17" s="806"/>
      <c r="HK17" s="806"/>
      <c r="HL17" s="806"/>
      <c r="HM17" s="806"/>
      <c r="HN17" s="806"/>
      <c r="HO17" s="806"/>
      <c r="HP17" s="806"/>
      <c r="HQ17" s="806"/>
      <c r="HR17" s="806"/>
      <c r="HS17" s="806"/>
      <c r="HT17" s="806"/>
      <c r="HU17" s="806"/>
      <c r="HV17" s="806"/>
      <c r="HW17" s="806"/>
      <c r="HX17" s="806"/>
      <c r="HY17" s="806"/>
      <c r="HZ17" s="806"/>
      <c r="IA17" s="806"/>
      <c r="IB17" s="806"/>
      <c r="IC17" s="806"/>
      <c r="ID17" s="806"/>
      <c r="IE17" s="806"/>
      <c r="IF17" s="806"/>
      <c r="IG17" s="806"/>
      <c r="IH17" s="806"/>
      <c r="II17" s="806"/>
      <c r="IJ17" s="806"/>
      <c r="IK17" s="806"/>
      <c r="IL17" s="806"/>
      <c r="IM17" s="806"/>
      <c r="IN17" s="806"/>
      <c r="IO17" s="806"/>
      <c r="IP17" s="806"/>
      <c r="IQ17" s="806"/>
      <c r="IR17" s="806"/>
      <c r="IS17" s="806"/>
      <c r="IT17" s="806"/>
      <c r="IU17" s="806"/>
      <c r="IV17" s="806"/>
    </row>
    <row r="18" spans="1:256" ht="12" customHeight="1">
      <c r="A18" s="802"/>
      <c r="B18" s="806"/>
      <c r="C18" s="806"/>
      <c r="D18" s="1225"/>
      <c r="E18" s="781"/>
      <c r="F18" s="1225"/>
      <c r="G18" s="781"/>
      <c r="H18" s="1225"/>
      <c r="I18" s="781"/>
      <c r="J18" s="783"/>
      <c r="K18" s="781"/>
      <c r="L18" s="1225"/>
      <c r="M18" s="813"/>
      <c r="N18" s="806"/>
      <c r="O18" s="812"/>
      <c r="P18" s="812"/>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c r="AX18" s="806"/>
      <c r="AY18" s="806"/>
      <c r="AZ18" s="806"/>
      <c r="BA18" s="806"/>
      <c r="BB18" s="806"/>
      <c r="BC18" s="806"/>
      <c r="BD18" s="806"/>
      <c r="BE18" s="806"/>
      <c r="BF18" s="806"/>
      <c r="BG18" s="806"/>
      <c r="BH18" s="806"/>
      <c r="BI18" s="806"/>
      <c r="BJ18" s="806"/>
      <c r="BK18" s="806"/>
      <c r="BL18" s="806"/>
      <c r="BM18" s="806"/>
      <c r="BN18" s="806"/>
      <c r="BO18" s="806"/>
      <c r="BP18" s="806"/>
      <c r="BQ18" s="806"/>
      <c r="BR18" s="806"/>
      <c r="BS18" s="806"/>
      <c r="BT18" s="806"/>
      <c r="BU18" s="806"/>
      <c r="BV18" s="806"/>
      <c r="BW18" s="806"/>
      <c r="BX18" s="806"/>
      <c r="BY18" s="806"/>
      <c r="BZ18" s="806"/>
      <c r="CA18" s="806"/>
      <c r="CB18" s="806"/>
      <c r="CC18" s="806"/>
      <c r="CD18" s="806"/>
      <c r="CE18" s="806"/>
      <c r="CF18" s="806"/>
      <c r="CG18" s="806"/>
      <c r="CH18" s="806"/>
      <c r="CI18" s="806"/>
      <c r="CJ18" s="806"/>
      <c r="CK18" s="806"/>
      <c r="CL18" s="806"/>
      <c r="CM18" s="806"/>
      <c r="CN18" s="806"/>
      <c r="CO18" s="806"/>
      <c r="CP18" s="806"/>
      <c r="CQ18" s="806"/>
      <c r="CR18" s="806"/>
      <c r="CS18" s="806"/>
      <c r="CT18" s="806"/>
      <c r="CU18" s="806"/>
      <c r="CV18" s="806"/>
      <c r="CW18" s="806"/>
      <c r="CX18" s="806"/>
      <c r="CY18" s="806"/>
      <c r="CZ18" s="806"/>
      <c r="DA18" s="806"/>
      <c r="DB18" s="806"/>
      <c r="DC18" s="806"/>
      <c r="DD18" s="806"/>
      <c r="DE18" s="806"/>
      <c r="DF18" s="806"/>
      <c r="DG18" s="806"/>
      <c r="DH18" s="806"/>
      <c r="DI18" s="806"/>
      <c r="DJ18" s="806"/>
      <c r="DK18" s="806"/>
      <c r="DL18" s="806"/>
      <c r="DM18" s="806"/>
      <c r="DN18" s="806"/>
      <c r="DO18" s="806"/>
      <c r="DP18" s="806"/>
      <c r="DQ18" s="806"/>
      <c r="DR18" s="806"/>
      <c r="DS18" s="806"/>
      <c r="DT18" s="806"/>
      <c r="DU18" s="806"/>
      <c r="DV18" s="806"/>
      <c r="DW18" s="806"/>
      <c r="DX18" s="806"/>
      <c r="DY18" s="806"/>
      <c r="DZ18" s="806"/>
      <c r="EA18" s="806"/>
      <c r="EB18" s="806"/>
      <c r="EC18" s="806"/>
      <c r="ED18" s="806"/>
      <c r="EE18" s="806"/>
      <c r="EF18" s="806"/>
      <c r="EG18" s="806"/>
      <c r="EH18" s="806"/>
      <c r="EI18" s="806"/>
      <c r="EJ18" s="806"/>
      <c r="EK18" s="806"/>
      <c r="EL18" s="806"/>
      <c r="EM18" s="806"/>
      <c r="EN18" s="806"/>
      <c r="EO18" s="806"/>
      <c r="EP18" s="806"/>
      <c r="EQ18" s="806"/>
      <c r="ER18" s="806"/>
      <c r="ES18" s="806"/>
      <c r="ET18" s="806"/>
      <c r="EU18" s="806"/>
      <c r="EV18" s="806"/>
      <c r="EW18" s="806"/>
      <c r="EX18" s="806"/>
      <c r="EY18" s="806"/>
      <c r="EZ18" s="806"/>
      <c r="FA18" s="806"/>
      <c r="FB18" s="806"/>
      <c r="FC18" s="806"/>
      <c r="FD18" s="806"/>
      <c r="FE18" s="806"/>
      <c r="FF18" s="806"/>
      <c r="FG18" s="806"/>
      <c r="FH18" s="806"/>
      <c r="FI18" s="806"/>
      <c r="FJ18" s="806"/>
      <c r="FK18" s="806"/>
      <c r="FL18" s="806"/>
      <c r="FM18" s="806"/>
      <c r="FN18" s="806"/>
      <c r="FO18" s="806"/>
      <c r="FP18" s="806"/>
      <c r="FQ18" s="806"/>
      <c r="FR18" s="806"/>
      <c r="FS18" s="806"/>
      <c r="FT18" s="806"/>
      <c r="FU18" s="806"/>
      <c r="FV18" s="806"/>
      <c r="FW18" s="806"/>
      <c r="FX18" s="806"/>
      <c r="FY18" s="806"/>
      <c r="FZ18" s="806"/>
      <c r="GA18" s="806"/>
      <c r="GB18" s="806"/>
      <c r="GC18" s="806"/>
      <c r="GD18" s="806"/>
      <c r="GE18" s="806"/>
      <c r="GF18" s="806"/>
      <c r="GG18" s="806"/>
      <c r="GH18" s="806"/>
      <c r="GI18" s="806"/>
      <c r="GJ18" s="806"/>
      <c r="GK18" s="806"/>
      <c r="GL18" s="806"/>
      <c r="GM18" s="806"/>
      <c r="GN18" s="806"/>
      <c r="GO18" s="806"/>
      <c r="GP18" s="806"/>
      <c r="GQ18" s="806"/>
      <c r="GR18" s="806"/>
      <c r="GS18" s="806"/>
      <c r="GT18" s="806"/>
      <c r="GU18" s="806"/>
      <c r="GV18" s="806"/>
      <c r="GW18" s="806"/>
      <c r="GX18" s="806"/>
      <c r="GY18" s="806"/>
      <c r="GZ18" s="806"/>
      <c r="HA18" s="806"/>
      <c r="HB18" s="806"/>
      <c r="HC18" s="806"/>
      <c r="HD18" s="806"/>
      <c r="HE18" s="806"/>
      <c r="HF18" s="806"/>
      <c r="HG18" s="806"/>
      <c r="HH18" s="806"/>
      <c r="HI18" s="806"/>
      <c r="HJ18" s="806"/>
      <c r="HK18" s="806"/>
      <c r="HL18" s="806"/>
      <c r="HM18" s="806"/>
      <c r="HN18" s="806"/>
      <c r="HO18" s="806"/>
      <c r="HP18" s="806"/>
      <c r="HQ18" s="806"/>
      <c r="HR18" s="806"/>
      <c r="HS18" s="806"/>
      <c r="HT18" s="806"/>
      <c r="HU18" s="806"/>
      <c r="HV18" s="806"/>
      <c r="HW18" s="806"/>
      <c r="HX18" s="806"/>
      <c r="HY18" s="806"/>
      <c r="HZ18" s="806"/>
      <c r="IA18" s="806"/>
      <c r="IB18" s="806"/>
      <c r="IC18" s="806"/>
      <c r="ID18" s="806"/>
      <c r="IE18" s="806"/>
      <c r="IF18" s="806"/>
      <c r="IG18" s="806"/>
      <c r="IH18" s="806"/>
      <c r="II18" s="806"/>
      <c r="IJ18" s="806"/>
      <c r="IK18" s="806"/>
      <c r="IL18" s="806"/>
      <c r="IM18" s="806"/>
      <c r="IN18" s="806"/>
      <c r="IO18" s="806"/>
      <c r="IP18" s="806"/>
      <c r="IQ18" s="806"/>
      <c r="IR18" s="806"/>
      <c r="IS18" s="806"/>
      <c r="IT18" s="806"/>
      <c r="IU18" s="806"/>
      <c r="IV18" s="806"/>
    </row>
    <row r="19" spans="1:256" ht="18" customHeight="1">
      <c r="A19" s="815" t="s">
        <v>231</v>
      </c>
      <c r="B19" s="802"/>
      <c r="C19" s="802"/>
      <c r="D19" s="1226"/>
      <c r="E19" s="1226"/>
      <c r="F19" s="1226"/>
      <c r="G19" s="1226"/>
      <c r="H19" s="1226"/>
      <c r="I19" s="1226"/>
      <c r="J19" s="1226"/>
      <c r="K19" s="1226"/>
      <c r="L19" s="1226"/>
      <c r="M19" s="804"/>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806"/>
      <c r="AN19" s="806"/>
      <c r="AO19" s="806"/>
      <c r="AP19" s="806"/>
      <c r="AQ19" s="806"/>
      <c r="AR19" s="806"/>
      <c r="AS19" s="806"/>
      <c r="AT19" s="806"/>
      <c r="AU19" s="806"/>
      <c r="AV19" s="806"/>
      <c r="AW19" s="806"/>
      <c r="AX19" s="806"/>
      <c r="AY19" s="806"/>
      <c r="AZ19" s="806"/>
      <c r="BA19" s="806"/>
      <c r="BB19" s="806"/>
      <c r="BC19" s="806"/>
      <c r="BD19" s="806"/>
      <c r="BE19" s="806"/>
      <c r="BF19" s="806"/>
      <c r="BG19" s="806"/>
      <c r="BH19" s="806"/>
      <c r="BI19" s="806"/>
      <c r="BJ19" s="806"/>
      <c r="BK19" s="806"/>
      <c r="BL19" s="806"/>
      <c r="BM19" s="806"/>
      <c r="BN19" s="806"/>
      <c r="BO19" s="806"/>
      <c r="BP19" s="806"/>
      <c r="BQ19" s="806"/>
      <c r="BR19" s="806"/>
      <c r="BS19" s="806"/>
      <c r="BT19" s="806"/>
      <c r="BU19" s="806"/>
      <c r="BV19" s="806"/>
      <c r="BW19" s="806"/>
      <c r="BX19" s="806"/>
      <c r="BY19" s="806"/>
      <c r="BZ19" s="806"/>
      <c r="CA19" s="806"/>
      <c r="CB19" s="806"/>
      <c r="CC19" s="806"/>
      <c r="CD19" s="806"/>
      <c r="CE19" s="806"/>
      <c r="CF19" s="806"/>
      <c r="CG19" s="806"/>
      <c r="CH19" s="806"/>
      <c r="CI19" s="806"/>
      <c r="CJ19" s="806"/>
      <c r="CK19" s="806"/>
      <c r="CL19" s="806"/>
      <c r="CM19" s="806"/>
      <c r="CN19" s="806"/>
      <c r="CO19" s="806"/>
      <c r="CP19" s="806"/>
      <c r="CQ19" s="806"/>
      <c r="CR19" s="806"/>
      <c r="CS19" s="806"/>
      <c r="CT19" s="806"/>
      <c r="CU19" s="806"/>
      <c r="CV19" s="806"/>
      <c r="CW19" s="806"/>
      <c r="CX19" s="806"/>
      <c r="CY19" s="806"/>
      <c r="CZ19" s="806"/>
      <c r="DA19" s="806"/>
      <c r="DB19" s="806"/>
      <c r="DC19" s="806"/>
      <c r="DD19" s="806"/>
      <c r="DE19" s="806"/>
      <c r="DF19" s="806"/>
      <c r="DG19" s="806"/>
      <c r="DH19" s="806"/>
      <c r="DI19" s="806"/>
      <c r="DJ19" s="806"/>
      <c r="DK19" s="806"/>
      <c r="DL19" s="806"/>
      <c r="DM19" s="806"/>
      <c r="DN19" s="806"/>
      <c r="DO19" s="806"/>
      <c r="DP19" s="806"/>
      <c r="DQ19" s="806"/>
      <c r="DR19" s="806"/>
      <c r="DS19" s="806"/>
      <c r="DT19" s="806"/>
      <c r="DU19" s="806"/>
      <c r="DV19" s="806"/>
      <c r="DW19" s="806"/>
      <c r="DX19" s="806"/>
      <c r="DY19" s="806"/>
      <c r="DZ19" s="806"/>
      <c r="EA19" s="806"/>
      <c r="EB19" s="806"/>
      <c r="EC19" s="806"/>
      <c r="ED19" s="806"/>
      <c r="EE19" s="806"/>
      <c r="EF19" s="806"/>
      <c r="EG19" s="806"/>
      <c r="EH19" s="806"/>
      <c r="EI19" s="806"/>
      <c r="EJ19" s="806"/>
      <c r="EK19" s="806"/>
      <c r="EL19" s="806"/>
      <c r="EM19" s="806"/>
      <c r="EN19" s="806"/>
      <c r="EO19" s="806"/>
      <c r="EP19" s="806"/>
      <c r="EQ19" s="806"/>
      <c r="ER19" s="806"/>
      <c r="ES19" s="806"/>
      <c r="ET19" s="806"/>
      <c r="EU19" s="806"/>
      <c r="EV19" s="806"/>
      <c r="EW19" s="806"/>
      <c r="EX19" s="806"/>
      <c r="EY19" s="806"/>
      <c r="EZ19" s="806"/>
      <c r="FA19" s="806"/>
      <c r="FB19" s="806"/>
      <c r="FC19" s="806"/>
      <c r="FD19" s="806"/>
      <c r="FE19" s="806"/>
      <c r="FF19" s="806"/>
      <c r="FG19" s="806"/>
      <c r="FH19" s="806"/>
      <c r="FI19" s="806"/>
      <c r="FJ19" s="806"/>
      <c r="FK19" s="806"/>
      <c r="FL19" s="806"/>
      <c r="FM19" s="806"/>
      <c r="FN19" s="806"/>
      <c r="FO19" s="806"/>
      <c r="FP19" s="806"/>
      <c r="FQ19" s="806"/>
      <c r="FR19" s="806"/>
      <c r="FS19" s="806"/>
      <c r="FT19" s="806"/>
      <c r="FU19" s="806"/>
      <c r="FV19" s="806"/>
      <c r="FW19" s="806"/>
      <c r="FX19" s="806"/>
      <c r="FY19" s="806"/>
      <c r="FZ19" s="806"/>
      <c r="GA19" s="806"/>
      <c r="GB19" s="806"/>
      <c r="GC19" s="806"/>
      <c r="GD19" s="806"/>
      <c r="GE19" s="806"/>
      <c r="GF19" s="806"/>
      <c r="GG19" s="806"/>
      <c r="GH19" s="806"/>
      <c r="GI19" s="806"/>
      <c r="GJ19" s="806"/>
      <c r="GK19" s="806"/>
      <c r="GL19" s="806"/>
      <c r="GM19" s="806"/>
      <c r="GN19" s="806"/>
      <c r="GO19" s="806"/>
      <c r="GP19" s="806"/>
      <c r="GQ19" s="806"/>
      <c r="GR19" s="806"/>
      <c r="GS19" s="806"/>
      <c r="GT19" s="806"/>
      <c r="GU19" s="806"/>
      <c r="GV19" s="806"/>
      <c r="GW19" s="806"/>
      <c r="GX19" s="806"/>
      <c r="GY19" s="806"/>
      <c r="GZ19" s="806"/>
      <c r="HA19" s="806"/>
      <c r="HB19" s="806"/>
      <c r="HC19" s="806"/>
      <c r="HD19" s="806"/>
      <c r="HE19" s="806"/>
      <c r="HF19" s="806"/>
      <c r="HG19" s="806"/>
      <c r="HH19" s="806"/>
      <c r="HI19" s="806"/>
      <c r="HJ19" s="806"/>
      <c r="HK19" s="806"/>
      <c r="HL19" s="806"/>
      <c r="HM19" s="806"/>
      <c r="HN19" s="806"/>
      <c r="HO19" s="806"/>
      <c r="HP19" s="806"/>
      <c r="HQ19" s="806"/>
      <c r="HR19" s="806"/>
      <c r="HS19" s="806"/>
      <c r="HT19" s="806"/>
      <c r="HU19" s="806"/>
      <c r="HV19" s="806"/>
      <c r="HW19" s="806"/>
      <c r="HX19" s="806"/>
      <c r="HY19" s="806"/>
      <c r="HZ19" s="806"/>
      <c r="IA19" s="806"/>
      <c r="IB19" s="806"/>
      <c r="IC19" s="806"/>
      <c r="ID19" s="806"/>
      <c r="IE19" s="806"/>
      <c r="IF19" s="806"/>
      <c r="IG19" s="806"/>
      <c r="IH19" s="806"/>
      <c r="II19" s="806"/>
      <c r="IJ19" s="806"/>
      <c r="IK19" s="806"/>
      <c r="IL19" s="806"/>
      <c r="IM19" s="806"/>
      <c r="IN19" s="806"/>
      <c r="IO19" s="806"/>
      <c r="IP19" s="806"/>
      <c r="IQ19" s="806"/>
      <c r="IR19" s="806"/>
      <c r="IS19" s="806"/>
      <c r="IT19" s="806"/>
      <c r="IU19" s="806"/>
      <c r="IV19" s="806"/>
    </row>
    <row r="20" spans="1:256" ht="7.5" customHeight="1">
      <c r="A20" s="802"/>
      <c r="B20" s="802"/>
      <c r="C20" s="802"/>
      <c r="D20" s="1226"/>
      <c r="E20" s="1226"/>
      <c r="F20" s="1226"/>
      <c r="G20" s="1226"/>
      <c r="H20" s="1226"/>
      <c r="I20" s="1226"/>
      <c r="J20" s="1226"/>
      <c r="K20" s="1226"/>
      <c r="L20" s="781"/>
      <c r="M20" s="804"/>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c r="AX20" s="806"/>
      <c r="AY20" s="806"/>
      <c r="AZ20" s="806"/>
      <c r="BA20" s="806"/>
      <c r="BB20" s="806"/>
      <c r="BC20" s="806"/>
      <c r="BD20" s="806"/>
      <c r="BE20" s="806"/>
      <c r="BF20" s="806"/>
      <c r="BG20" s="806"/>
      <c r="BH20" s="806"/>
      <c r="BI20" s="806"/>
      <c r="BJ20" s="806"/>
      <c r="BK20" s="806"/>
      <c r="BL20" s="806"/>
      <c r="BM20" s="806"/>
      <c r="BN20" s="806"/>
      <c r="BO20" s="806"/>
      <c r="BP20" s="806"/>
      <c r="BQ20" s="806"/>
      <c r="BR20" s="806"/>
      <c r="BS20" s="806"/>
      <c r="BT20" s="806"/>
      <c r="BU20" s="806"/>
      <c r="BV20" s="806"/>
      <c r="BW20" s="806"/>
      <c r="BX20" s="806"/>
      <c r="BY20" s="806"/>
      <c r="BZ20" s="806"/>
      <c r="CA20" s="806"/>
      <c r="CB20" s="806"/>
      <c r="CC20" s="806"/>
      <c r="CD20" s="806"/>
      <c r="CE20" s="806"/>
      <c r="CF20" s="806"/>
      <c r="CG20" s="806"/>
      <c r="CH20" s="806"/>
      <c r="CI20" s="806"/>
      <c r="CJ20" s="806"/>
      <c r="CK20" s="806"/>
      <c r="CL20" s="806"/>
      <c r="CM20" s="806"/>
      <c r="CN20" s="806"/>
      <c r="CO20" s="806"/>
      <c r="CP20" s="806"/>
      <c r="CQ20" s="806"/>
      <c r="CR20" s="806"/>
      <c r="CS20" s="806"/>
      <c r="CT20" s="806"/>
      <c r="CU20" s="806"/>
      <c r="CV20" s="806"/>
      <c r="CW20" s="806"/>
      <c r="CX20" s="806"/>
      <c r="CY20" s="806"/>
      <c r="CZ20" s="806"/>
      <c r="DA20" s="806"/>
      <c r="DB20" s="806"/>
      <c r="DC20" s="806"/>
      <c r="DD20" s="806"/>
      <c r="DE20" s="806"/>
      <c r="DF20" s="806"/>
      <c r="DG20" s="806"/>
      <c r="DH20" s="806"/>
      <c r="DI20" s="806"/>
      <c r="DJ20" s="806"/>
      <c r="DK20" s="806"/>
      <c r="DL20" s="806"/>
      <c r="DM20" s="806"/>
      <c r="DN20" s="806"/>
      <c r="DO20" s="806"/>
      <c r="DP20" s="806"/>
      <c r="DQ20" s="806"/>
      <c r="DR20" s="806"/>
      <c r="DS20" s="806"/>
      <c r="DT20" s="806"/>
      <c r="DU20" s="806"/>
      <c r="DV20" s="806"/>
      <c r="DW20" s="806"/>
      <c r="DX20" s="806"/>
      <c r="DY20" s="806"/>
      <c r="DZ20" s="806"/>
      <c r="EA20" s="806"/>
      <c r="EB20" s="806"/>
      <c r="EC20" s="806"/>
      <c r="ED20" s="806"/>
      <c r="EE20" s="806"/>
      <c r="EF20" s="806"/>
      <c r="EG20" s="806"/>
      <c r="EH20" s="806"/>
      <c r="EI20" s="806"/>
      <c r="EJ20" s="806"/>
      <c r="EK20" s="806"/>
      <c r="EL20" s="806"/>
      <c r="EM20" s="806"/>
      <c r="EN20" s="806"/>
      <c r="EO20" s="806"/>
      <c r="EP20" s="806"/>
      <c r="EQ20" s="806"/>
      <c r="ER20" s="806"/>
      <c r="ES20" s="806"/>
      <c r="ET20" s="806"/>
      <c r="EU20" s="806"/>
      <c r="EV20" s="806"/>
      <c r="EW20" s="806"/>
      <c r="EX20" s="806"/>
      <c r="EY20" s="806"/>
      <c r="EZ20" s="806"/>
      <c r="FA20" s="806"/>
      <c r="FB20" s="806"/>
      <c r="FC20" s="806"/>
      <c r="FD20" s="806"/>
      <c r="FE20" s="806"/>
      <c r="FF20" s="806"/>
      <c r="FG20" s="806"/>
      <c r="FH20" s="806"/>
      <c r="FI20" s="806"/>
      <c r="FJ20" s="806"/>
      <c r="FK20" s="806"/>
      <c r="FL20" s="806"/>
      <c r="FM20" s="806"/>
      <c r="FN20" s="806"/>
      <c r="FO20" s="806"/>
      <c r="FP20" s="806"/>
      <c r="FQ20" s="806"/>
      <c r="FR20" s="806"/>
      <c r="FS20" s="806"/>
      <c r="FT20" s="806"/>
      <c r="FU20" s="806"/>
      <c r="FV20" s="806"/>
      <c r="FW20" s="806"/>
      <c r="FX20" s="806"/>
      <c r="FY20" s="806"/>
      <c r="FZ20" s="806"/>
      <c r="GA20" s="806"/>
      <c r="GB20" s="806"/>
      <c r="GC20" s="806"/>
      <c r="GD20" s="806"/>
      <c r="GE20" s="806"/>
      <c r="GF20" s="806"/>
      <c r="GG20" s="806"/>
      <c r="GH20" s="806"/>
      <c r="GI20" s="806"/>
      <c r="GJ20" s="806"/>
      <c r="GK20" s="806"/>
      <c r="GL20" s="806"/>
      <c r="GM20" s="806"/>
      <c r="GN20" s="806"/>
      <c r="GO20" s="806"/>
      <c r="GP20" s="806"/>
      <c r="GQ20" s="806"/>
      <c r="GR20" s="806"/>
      <c r="GS20" s="806"/>
      <c r="GT20" s="806"/>
      <c r="GU20" s="806"/>
      <c r="GV20" s="806"/>
      <c r="GW20" s="806"/>
      <c r="GX20" s="806"/>
      <c r="GY20" s="806"/>
      <c r="GZ20" s="806"/>
      <c r="HA20" s="806"/>
      <c r="HB20" s="806"/>
      <c r="HC20" s="806"/>
      <c r="HD20" s="806"/>
      <c r="HE20" s="806"/>
      <c r="HF20" s="806"/>
      <c r="HG20" s="806"/>
      <c r="HH20" s="806"/>
      <c r="HI20" s="806"/>
      <c r="HJ20" s="806"/>
      <c r="HK20" s="806"/>
      <c r="HL20" s="806"/>
      <c r="HM20" s="806"/>
      <c r="HN20" s="806"/>
      <c r="HO20" s="806"/>
      <c r="HP20" s="806"/>
      <c r="HQ20" s="806"/>
      <c r="HR20" s="806"/>
      <c r="HS20" s="806"/>
      <c r="HT20" s="806"/>
      <c r="HU20" s="806"/>
      <c r="HV20" s="806"/>
      <c r="HW20" s="806"/>
      <c r="HX20" s="806"/>
      <c r="HY20" s="806"/>
      <c r="HZ20" s="806"/>
      <c r="IA20" s="806"/>
      <c r="IB20" s="806"/>
      <c r="IC20" s="806"/>
      <c r="ID20" s="806"/>
      <c r="IE20" s="806"/>
      <c r="IF20" s="806"/>
      <c r="IG20" s="806"/>
      <c r="IH20" s="806"/>
      <c r="II20" s="806"/>
      <c r="IJ20" s="806"/>
      <c r="IK20" s="806"/>
      <c r="IL20" s="806"/>
      <c r="IM20" s="806"/>
      <c r="IN20" s="806"/>
      <c r="IO20" s="806"/>
      <c r="IP20" s="806"/>
      <c r="IQ20" s="806"/>
      <c r="IR20" s="806"/>
      <c r="IS20" s="806"/>
      <c r="IT20" s="806"/>
      <c r="IU20" s="806"/>
      <c r="IV20" s="806"/>
    </row>
    <row r="21" spans="1:256" ht="16.5" customHeight="1">
      <c r="A21" s="1227" t="s">
        <v>379</v>
      </c>
      <c r="B21" s="802"/>
      <c r="C21" s="824"/>
      <c r="D21" s="2802">
        <v>2.6890000000000001</v>
      </c>
      <c r="E21" s="2799"/>
      <c r="F21" s="2802">
        <v>7.1999999999999995E-2</v>
      </c>
      <c r="G21" s="2799"/>
      <c r="H21" s="2802">
        <v>6.0000000000000001E-3</v>
      </c>
      <c r="I21" s="2799"/>
      <c r="J21" s="2802">
        <v>0</v>
      </c>
      <c r="K21" s="2800"/>
      <c r="L21" s="2803">
        <f>ROUND(SUM(D21)+SUM(F21)-SUM(H21)+SUM(J21),3)</f>
        <v>2.7549999999999999</v>
      </c>
      <c r="M21" s="804"/>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c r="BE21" s="806"/>
      <c r="BF21" s="806"/>
      <c r="BG21" s="806"/>
      <c r="BH21" s="806"/>
      <c r="BI21" s="806"/>
      <c r="BJ21" s="806"/>
      <c r="BK21" s="806"/>
      <c r="BL21" s="806"/>
      <c r="BM21" s="806"/>
      <c r="BN21" s="806"/>
      <c r="BO21" s="806"/>
      <c r="BP21" s="806"/>
      <c r="BQ21" s="806"/>
      <c r="BR21" s="806"/>
      <c r="BS21" s="806"/>
      <c r="BT21" s="806"/>
      <c r="BU21" s="806"/>
      <c r="BV21" s="806"/>
      <c r="BW21" s="806"/>
      <c r="BX21" s="806"/>
      <c r="BY21" s="806"/>
      <c r="BZ21" s="806"/>
      <c r="CA21" s="806"/>
      <c r="CB21" s="806"/>
      <c r="CC21" s="806"/>
      <c r="CD21" s="806"/>
      <c r="CE21" s="806"/>
      <c r="CF21" s="806"/>
      <c r="CG21" s="806"/>
      <c r="CH21" s="806"/>
      <c r="CI21" s="806"/>
      <c r="CJ21" s="806"/>
      <c r="CK21" s="806"/>
      <c r="CL21" s="806"/>
      <c r="CM21" s="806"/>
      <c r="CN21" s="806"/>
      <c r="CO21" s="806"/>
      <c r="CP21" s="806"/>
      <c r="CQ21" s="806"/>
      <c r="CR21" s="806"/>
      <c r="CS21" s="806"/>
      <c r="CT21" s="806"/>
      <c r="CU21" s="806"/>
      <c r="CV21" s="806"/>
      <c r="CW21" s="806"/>
      <c r="CX21" s="806"/>
      <c r="CY21" s="806"/>
      <c r="CZ21" s="806"/>
      <c r="DA21" s="806"/>
      <c r="DB21" s="806"/>
      <c r="DC21" s="806"/>
      <c r="DD21" s="806"/>
      <c r="DE21" s="806"/>
      <c r="DF21" s="806"/>
      <c r="DG21" s="806"/>
      <c r="DH21" s="806"/>
      <c r="DI21" s="806"/>
      <c r="DJ21" s="806"/>
      <c r="DK21" s="806"/>
      <c r="DL21" s="806"/>
      <c r="DM21" s="806"/>
      <c r="DN21" s="806"/>
      <c r="DO21" s="806"/>
      <c r="DP21" s="806"/>
      <c r="DQ21" s="806"/>
      <c r="DR21" s="806"/>
      <c r="DS21" s="806"/>
      <c r="DT21" s="806"/>
      <c r="DU21" s="806"/>
      <c r="DV21" s="806"/>
      <c r="DW21" s="806"/>
      <c r="DX21" s="806"/>
      <c r="DY21" s="806"/>
      <c r="DZ21" s="806"/>
      <c r="EA21" s="806"/>
      <c r="EB21" s="806"/>
      <c r="EC21" s="806"/>
      <c r="ED21" s="806"/>
      <c r="EE21" s="806"/>
      <c r="EF21" s="806"/>
      <c r="EG21" s="806"/>
      <c r="EH21" s="806"/>
      <c r="EI21" s="806"/>
      <c r="EJ21" s="806"/>
      <c r="EK21" s="806"/>
      <c r="EL21" s="806"/>
      <c r="EM21" s="806"/>
      <c r="EN21" s="806"/>
      <c r="EO21" s="806"/>
      <c r="EP21" s="806"/>
      <c r="EQ21" s="806"/>
      <c r="ER21" s="806"/>
      <c r="ES21" s="806"/>
      <c r="ET21" s="806"/>
      <c r="EU21" s="806"/>
      <c r="EV21" s="806"/>
      <c r="EW21" s="806"/>
      <c r="EX21" s="806"/>
      <c r="EY21" s="806"/>
      <c r="EZ21" s="806"/>
      <c r="FA21" s="806"/>
      <c r="FB21" s="806"/>
      <c r="FC21" s="806"/>
      <c r="FD21" s="806"/>
      <c r="FE21" s="806"/>
      <c r="FF21" s="806"/>
      <c r="FG21" s="806"/>
      <c r="FH21" s="806"/>
      <c r="FI21" s="806"/>
      <c r="FJ21" s="806"/>
      <c r="FK21" s="806"/>
      <c r="FL21" s="806"/>
      <c r="FM21" s="806"/>
      <c r="FN21" s="806"/>
      <c r="FO21" s="806"/>
      <c r="FP21" s="806"/>
      <c r="FQ21" s="806"/>
      <c r="FR21" s="806"/>
      <c r="FS21" s="806"/>
      <c r="FT21" s="806"/>
      <c r="FU21" s="806"/>
      <c r="FV21" s="806"/>
      <c r="FW21" s="806"/>
      <c r="FX21" s="806"/>
      <c r="FY21" s="806"/>
      <c r="FZ21" s="806"/>
      <c r="GA21" s="806"/>
      <c r="GB21" s="806"/>
      <c r="GC21" s="806"/>
      <c r="GD21" s="806"/>
      <c r="GE21" s="806"/>
      <c r="GF21" s="806"/>
      <c r="GG21" s="806"/>
      <c r="GH21" s="806"/>
      <c r="GI21" s="806"/>
      <c r="GJ21" s="806"/>
      <c r="GK21" s="806"/>
      <c r="GL21" s="806"/>
      <c r="GM21" s="806"/>
      <c r="GN21" s="806"/>
      <c r="GO21" s="806"/>
      <c r="GP21" s="806"/>
      <c r="GQ21" s="806"/>
      <c r="GR21" s="806"/>
      <c r="GS21" s="806"/>
      <c r="GT21" s="806"/>
      <c r="GU21" s="806"/>
      <c r="GV21" s="806"/>
      <c r="GW21" s="806"/>
      <c r="GX21" s="806"/>
      <c r="GY21" s="806"/>
      <c r="GZ21" s="806"/>
      <c r="HA21" s="806"/>
      <c r="HB21" s="806"/>
      <c r="HC21" s="806"/>
      <c r="HD21" s="806"/>
      <c r="HE21" s="806"/>
      <c r="HF21" s="806"/>
      <c r="HG21" s="806"/>
      <c r="HH21" s="806"/>
      <c r="HI21" s="806"/>
      <c r="HJ21" s="806"/>
      <c r="HK21" s="806"/>
      <c r="HL21" s="806"/>
      <c r="HM21" s="806"/>
      <c r="HN21" s="806"/>
      <c r="HO21" s="806"/>
      <c r="HP21" s="806"/>
      <c r="HQ21" s="806"/>
      <c r="HR21" s="806"/>
      <c r="HS21" s="806"/>
      <c r="HT21" s="806"/>
      <c r="HU21" s="806"/>
      <c r="HV21" s="806"/>
      <c r="HW21" s="806"/>
      <c r="HX21" s="806"/>
      <c r="HY21" s="806"/>
      <c r="HZ21" s="806"/>
      <c r="IA21" s="806"/>
      <c r="IB21" s="806"/>
      <c r="IC21" s="806"/>
      <c r="ID21" s="806"/>
      <c r="IE21" s="806"/>
      <c r="IF21" s="806"/>
      <c r="IG21" s="806"/>
      <c r="IH21" s="806"/>
      <c r="II21" s="806"/>
      <c r="IJ21" s="806"/>
      <c r="IK21" s="806"/>
      <c r="IL21" s="806"/>
      <c r="IM21" s="806"/>
      <c r="IN21" s="806"/>
      <c r="IO21" s="806"/>
      <c r="IP21" s="806"/>
      <c r="IQ21" s="806"/>
      <c r="IR21" s="806"/>
      <c r="IS21" s="806"/>
      <c r="IT21" s="806"/>
      <c r="IU21" s="806"/>
      <c r="IV21" s="806"/>
    </row>
    <row r="22" spans="1:256" ht="15.75" customHeight="1">
      <c r="A22" s="1227" t="s">
        <v>380</v>
      </c>
      <c r="B22" s="802"/>
      <c r="C22" s="802"/>
      <c r="D22" s="2805">
        <v>9.1690000000000005</v>
      </c>
      <c r="E22" s="2799"/>
      <c r="F22" s="2805">
        <v>0.14399999999999999</v>
      </c>
      <c r="G22" s="2799"/>
      <c r="H22" s="2805">
        <v>6.0000000000000001E-3</v>
      </c>
      <c r="I22" s="2799"/>
      <c r="J22" s="2805">
        <v>0</v>
      </c>
      <c r="K22" s="2800"/>
      <c r="L22" s="2806">
        <f>ROUND(SUM(D22)+SUM(F22)-SUM(H22)+SUM(J22),3)</f>
        <v>9.3070000000000004</v>
      </c>
      <c r="M22" s="804"/>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6"/>
      <c r="AY22" s="806"/>
      <c r="AZ22" s="806"/>
      <c r="BA22" s="806"/>
      <c r="BB22" s="806"/>
      <c r="BC22" s="806"/>
      <c r="BD22" s="806"/>
      <c r="BE22" s="806"/>
      <c r="BF22" s="806"/>
      <c r="BG22" s="806"/>
      <c r="BH22" s="806"/>
      <c r="BI22" s="806"/>
      <c r="BJ22" s="806"/>
      <c r="BK22" s="806"/>
      <c r="BL22" s="806"/>
      <c r="BM22" s="806"/>
      <c r="BN22" s="806"/>
      <c r="BO22" s="806"/>
      <c r="BP22" s="806"/>
      <c r="BQ22" s="806"/>
      <c r="BR22" s="806"/>
      <c r="BS22" s="806"/>
      <c r="BT22" s="806"/>
      <c r="BU22" s="806"/>
      <c r="BV22" s="806"/>
      <c r="BW22" s="806"/>
      <c r="BX22" s="806"/>
      <c r="BY22" s="806"/>
      <c r="BZ22" s="806"/>
      <c r="CA22" s="806"/>
      <c r="CB22" s="806"/>
      <c r="CC22" s="806"/>
      <c r="CD22" s="806"/>
      <c r="CE22" s="806"/>
      <c r="CF22" s="806"/>
      <c r="CG22" s="806"/>
      <c r="CH22" s="806"/>
      <c r="CI22" s="806"/>
      <c r="CJ22" s="806"/>
      <c r="CK22" s="806"/>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6"/>
      <c r="ED22" s="806"/>
      <c r="EE22" s="806"/>
      <c r="EF22" s="806"/>
      <c r="EG22" s="806"/>
      <c r="EH22" s="806"/>
      <c r="EI22" s="806"/>
      <c r="EJ22" s="806"/>
      <c r="EK22" s="806"/>
      <c r="EL22" s="806"/>
      <c r="EM22" s="806"/>
      <c r="EN22" s="806"/>
      <c r="EO22" s="806"/>
      <c r="EP22" s="806"/>
      <c r="EQ22" s="806"/>
      <c r="ER22" s="806"/>
      <c r="ES22" s="806"/>
      <c r="ET22" s="806"/>
      <c r="EU22" s="806"/>
      <c r="EV22" s="806"/>
      <c r="EW22" s="806"/>
      <c r="EX22" s="806"/>
      <c r="EY22" s="806"/>
      <c r="EZ22" s="806"/>
      <c r="FA22" s="806"/>
      <c r="FB22" s="806"/>
      <c r="FC22" s="806"/>
      <c r="FD22" s="806"/>
      <c r="FE22" s="806"/>
      <c r="FF22" s="806"/>
      <c r="FG22" s="806"/>
      <c r="FH22" s="806"/>
      <c r="FI22" s="806"/>
      <c r="FJ22" s="806"/>
      <c r="FK22" s="806"/>
      <c r="FL22" s="806"/>
      <c r="FM22" s="806"/>
      <c r="FN22" s="806"/>
      <c r="FO22" s="806"/>
      <c r="FP22" s="806"/>
      <c r="FQ22" s="806"/>
      <c r="FR22" s="806"/>
      <c r="FS22" s="806"/>
      <c r="FT22" s="806"/>
      <c r="FU22" s="806"/>
      <c r="FV22" s="806"/>
      <c r="FW22" s="806"/>
      <c r="FX22" s="806"/>
      <c r="FY22" s="806"/>
      <c r="FZ22" s="806"/>
      <c r="GA22" s="806"/>
      <c r="GB22" s="806"/>
      <c r="GC22" s="806"/>
      <c r="GD22" s="806"/>
      <c r="GE22" s="806"/>
      <c r="GF22" s="806"/>
      <c r="GG22" s="806"/>
      <c r="GH22" s="806"/>
      <c r="GI22" s="806"/>
      <c r="GJ22" s="806"/>
      <c r="GK22" s="806"/>
      <c r="GL22" s="806"/>
      <c r="GM22" s="806"/>
      <c r="GN22" s="806"/>
      <c r="GO22" s="806"/>
      <c r="GP22" s="806"/>
      <c r="GQ22" s="806"/>
      <c r="GR22" s="806"/>
      <c r="GS22" s="806"/>
      <c r="GT22" s="806"/>
      <c r="GU22" s="806"/>
      <c r="GV22" s="806"/>
      <c r="GW22" s="806"/>
      <c r="GX22" s="806"/>
      <c r="GY22" s="806"/>
      <c r="GZ22" s="806"/>
      <c r="HA22" s="806"/>
      <c r="HB22" s="806"/>
      <c r="HC22" s="806"/>
      <c r="HD22" s="806"/>
      <c r="HE22" s="806"/>
      <c r="HF22" s="806"/>
      <c r="HG22" s="806"/>
      <c r="HH22" s="806"/>
      <c r="HI22" s="806"/>
      <c r="HJ22" s="806"/>
      <c r="HK22" s="806"/>
      <c r="HL22" s="806"/>
      <c r="HM22" s="806"/>
      <c r="HN22" s="806"/>
      <c r="HO22" s="806"/>
      <c r="HP22" s="806"/>
      <c r="HQ22" s="806"/>
      <c r="HR22" s="806"/>
      <c r="HS22" s="806"/>
      <c r="HT22" s="806"/>
      <c r="HU22" s="806"/>
      <c r="HV22" s="806"/>
      <c r="HW22" s="806"/>
      <c r="HX22" s="806"/>
      <c r="HY22" s="806"/>
      <c r="HZ22" s="806"/>
      <c r="IA22" s="806"/>
      <c r="IB22" s="806"/>
      <c r="IC22" s="806"/>
      <c r="ID22" s="806"/>
      <c r="IE22" s="806"/>
      <c r="IF22" s="806"/>
      <c r="IG22" s="806"/>
      <c r="IH22" s="806"/>
      <c r="II22" s="806"/>
      <c r="IJ22" s="806"/>
      <c r="IK22" s="806"/>
      <c r="IL22" s="806"/>
      <c r="IM22" s="806"/>
      <c r="IN22" s="806"/>
      <c r="IO22" s="806"/>
      <c r="IP22" s="806"/>
      <c r="IQ22" s="806"/>
      <c r="IR22" s="806"/>
      <c r="IS22" s="806"/>
      <c r="IT22" s="806"/>
      <c r="IU22" s="806"/>
      <c r="IV22" s="806"/>
    </row>
    <row r="23" spans="1:256" ht="6.75" customHeight="1">
      <c r="A23" s="1227"/>
      <c r="B23" s="802"/>
      <c r="C23" s="802"/>
      <c r="D23" s="783"/>
      <c r="E23" s="781"/>
      <c r="F23" s="783" t="s">
        <v>15</v>
      </c>
      <c r="G23" s="781"/>
      <c r="H23" s="1228"/>
      <c r="I23" s="781"/>
      <c r="J23" s="1229"/>
      <c r="K23" s="781"/>
      <c r="L23" s="783"/>
      <c r="M23" s="804"/>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6"/>
      <c r="AY23" s="806"/>
      <c r="AZ23" s="806"/>
      <c r="BA23" s="806"/>
      <c r="BB23" s="806"/>
      <c r="BC23" s="806"/>
      <c r="BD23" s="806"/>
      <c r="BE23" s="806"/>
      <c r="BF23" s="806"/>
      <c r="BG23" s="806"/>
      <c r="BH23" s="806"/>
      <c r="BI23" s="806"/>
      <c r="BJ23" s="806"/>
      <c r="BK23" s="806"/>
      <c r="BL23" s="806"/>
      <c r="BM23" s="806"/>
      <c r="BN23" s="806"/>
      <c r="BO23" s="806"/>
      <c r="BP23" s="806"/>
      <c r="BQ23" s="806"/>
      <c r="BR23" s="806"/>
      <c r="BS23" s="806"/>
      <c r="BT23" s="806"/>
      <c r="BU23" s="806"/>
      <c r="BV23" s="806"/>
      <c r="BW23" s="806"/>
      <c r="BX23" s="806"/>
      <c r="BY23" s="806"/>
      <c r="BZ23" s="806"/>
      <c r="CA23" s="806"/>
      <c r="CB23" s="806"/>
      <c r="CC23" s="806"/>
      <c r="CD23" s="806"/>
      <c r="CE23" s="806"/>
      <c r="CF23" s="806"/>
      <c r="CG23" s="806"/>
      <c r="CH23" s="806"/>
      <c r="CI23" s="806"/>
      <c r="CJ23" s="806"/>
      <c r="CK23" s="806"/>
      <c r="CL23" s="806"/>
      <c r="CM23" s="806"/>
      <c r="CN23" s="806"/>
      <c r="CO23" s="806"/>
      <c r="CP23" s="806"/>
      <c r="CQ23" s="806"/>
      <c r="CR23" s="806"/>
      <c r="CS23" s="806"/>
      <c r="CT23" s="806"/>
      <c r="CU23" s="806"/>
      <c r="CV23" s="806"/>
      <c r="CW23" s="806"/>
      <c r="CX23" s="806"/>
      <c r="CY23" s="806"/>
      <c r="CZ23" s="806"/>
      <c r="DA23" s="806"/>
      <c r="DB23" s="806"/>
      <c r="DC23" s="806"/>
      <c r="DD23" s="806"/>
      <c r="DE23" s="806"/>
      <c r="DF23" s="806"/>
      <c r="DG23" s="806"/>
      <c r="DH23" s="806"/>
      <c r="DI23" s="806"/>
      <c r="DJ23" s="806"/>
      <c r="DK23" s="806"/>
      <c r="DL23" s="806"/>
      <c r="DM23" s="806"/>
      <c r="DN23" s="806"/>
      <c r="DO23" s="806"/>
      <c r="DP23" s="806"/>
      <c r="DQ23" s="806"/>
      <c r="DR23" s="806"/>
      <c r="DS23" s="806"/>
      <c r="DT23" s="806"/>
      <c r="DU23" s="806"/>
      <c r="DV23" s="806"/>
      <c r="DW23" s="806"/>
      <c r="DX23" s="806"/>
      <c r="DY23" s="806"/>
      <c r="DZ23" s="806"/>
      <c r="EA23" s="806"/>
      <c r="EB23" s="806"/>
      <c r="EC23" s="806"/>
      <c r="ED23" s="806"/>
      <c r="EE23" s="806"/>
      <c r="EF23" s="806"/>
      <c r="EG23" s="806"/>
      <c r="EH23" s="806"/>
      <c r="EI23" s="806"/>
      <c r="EJ23" s="806"/>
      <c r="EK23" s="806"/>
      <c r="EL23" s="806"/>
      <c r="EM23" s="806"/>
      <c r="EN23" s="806"/>
      <c r="EO23" s="806"/>
      <c r="EP23" s="806"/>
      <c r="EQ23" s="806"/>
      <c r="ER23" s="806"/>
      <c r="ES23" s="806"/>
      <c r="ET23" s="806"/>
      <c r="EU23" s="806"/>
      <c r="EV23" s="806"/>
      <c r="EW23" s="806"/>
      <c r="EX23" s="806"/>
      <c r="EY23" s="806"/>
      <c r="EZ23" s="806"/>
      <c r="FA23" s="806"/>
      <c r="FB23" s="806"/>
      <c r="FC23" s="806"/>
      <c r="FD23" s="806"/>
      <c r="FE23" s="806"/>
      <c r="FF23" s="806"/>
      <c r="FG23" s="806"/>
      <c r="FH23" s="806"/>
      <c r="FI23" s="806"/>
      <c r="FJ23" s="806"/>
      <c r="FK23" s="806"/>
      <c r="FL23" s="806"/>
      <c r="FM23" s="806"/>
      <c r="FN23" s="806"/>
      <c r="FO23" s="806"/>
      <c r="FP23" s="806"/>
      <c r="FQ23" s="806"/>
      <c r="FR23" s="806"/>
      <c r="FS23" s="806"/>
      <c r="FT23" s="806"/>
      <c r="FU23" s="806"/>
      <c r="FV23" s="806"/>
      <c r="FW23" s="806"/>
      <c r="FX23" s="806"/>
      <c r="FY23" s="806"/>
      <c r="FZ23" s="806"/>
      <c r="GA23" s="806"/>
      <c r="GB23" s="806"/>
      <c r="GC23" s="806"/>
      <c r="GD23" s="806"/>
      <c r="GE23" s="806"/>
      <c r="GF23" s="806"/>
      <c r="GG23" s="806"/>
      <c r="GH23" s="806"/>
      <c r="GI23" s="806"/>
      <c r="GJ23" s="806"/>
      <c r="GK23" s="806"/>
      <c r="GL23" s="806"/>
      <c r="GM23" s="806"/>
      <c r="GN23" s="806"/>
      <c r="GO23" s="806"/>
      <c r="GP23" s="806"/>
      <c r="GQ23" s="806"/>
      <c r="GR23" s="806"/>
      <c r="GS23" s="806"/>
      <c r="GT23" s="806"/>
      <c r="GU23" s="806"/>
      <c r="GV23" s="806"/>
      <c r="GW23" s="806"/>
      <c r="GX23" s="806"/>
      <c r="GY23" s="806"/>
      <c r="GZ23" s="806"/>
      <c r="HA23" s="806"/>
      <c r="HB23" s="806"/>
      <c r="HC23" s="806"/>
      <c r="HD23" s="806"/>
      <c r="HE23" s="806"/>
      <c r="HF23" s="806"/>
      <c r="HG23" s="806"/>
      <c r="HH23" s="806"/>
      <c r="HI23" s="806"/>
      <c r="HJ23" s="806"/>
      <c r="HK23" s="806"/>
      <c r="HL23" s="806"/>
      <c r="HM23" s="806"/>
      <c r="HN23" s="806"/>
      <c r="HO23" s="806"/>
      <c r="HP23" s="806"/>
      <c r="HQ23" s="806"/>
      <c r="HR23" s="806"/>
      <c r="HS23" s="806"/>
      <c r="HT23" s="806"/>
      <c r="HU23" s="806"/>
      <c r="HV23" s="806"/>
      <c r="HW23" s="806"/>
      <c r="HX23" s="806"/>
      <c r="HY23" s="806"/>
      <c r="HZ23" s="806"/>
      <c r="IA23" s="806"/>
      <c r="IB23" s="806"/>
      <c r="IC23" s="806"/>
      <c r="ID23" s="806"/>
      <c r="IE23" s="806"/>
      <c r="IF23" s="806"/>
      <c r="IG23" s="806"/>
      <c r="IH23" s="806"/>
      <c r="II23" s="806"/>
      <c r="IJ23" s="806"/>
      <c r="IK23" s="806"/>
      <c r="IL23" s="806"/>
      <c r="IM23" s="806"/>
      <c r="IN23" s="806"/>
      <c r="IO23" s="806"/>
      <c r="IP23" s="806"/>
      <c r="IQ23" s="806"/>
      <c r="IR23" s="806"/>
      <c r="IS23" s="806"/>
      <c r="IT23" s="806"/>
      <c r="IU23" s="806"/>
      <c r="IV23" s="806"/>
    </row>
    <row r="24" spans="1:256" ht="17.25" customHeight="1">
      <c r="A24" s="808" t="s">
        <v>1333</v>
      </c>
      <c r="B24" s="802"/>
      <c r="C24" s="824"/>
      <c r="D24" s="1230">
        <f>ROUND(SUM(D21:D22),3)</f>
        <v>11.858000000000001</v>
      </c>
      <c r="E24" s="1226"/>
      <c r="F24" s="1230">
        <f>ROUND(SUM(F21:F22),3)</f>
        <v>0.216</v>
      </c>
      <c r="G24" s="1226"/>
      <c r="H24" s="1230">
        <f>ROUND(SUM(H21:H22),3)</f>
        <v>1.2E-2</v>
      </c>
      <c r="I24" s="1226"/>
      <c r="J24" s="1230">
        <f>ROUND(SUM(J21:J22),3)</f>
        <v>0</v>
      </c>
      <c r="K24" s="1226"/>
      <c r="L24" s="1230">
        <f>ROUND(SUM(L21:L22),3)</f>
        <v>12.061999999999999</v>
      </c>
      <c r="M24" s="816"/>
      <c r="N24" s="817"/>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c r="BE24" s="806"/>
      <c r="BF24" s="806"/>
      <c r="BG24" s="806"/>
      <c r="BH24" s="806"/>
      <c r="BI24" s="806"/>
      <c r="BJ24" s="806"/>
      <c r="BK24" s="806"/>
      <c r="BL24" s="806"/>
      <c r="BM24" s="806"/>
      <c r="BN24" s="806"/>
      <c r="BO24" s="806"/>
      <c r="BP24" s="806"/>
      <c r="BQ24" s="806"/>
      <c r="BR24" s="806"/>
      <c r="BS24" s="806"/>
      <c r="BT24" s="806"/>
      <c r="BU24" s="806"/>
      <c r="BV24" s="806"/>
      <c r="BW24" s="806"/>
      <c r="BX24" s="806"/>
      <c r="BY24" s="806"/>
      <c r="BZ24" s="806"/>
      <c r="CA24" s="806"/>
      <c r="CB24" s="806"/>
      <c r="CC24" s="806"/>
      <c r="CD24" s="806"/>
      <c r="CE24" s="806"/>
      <c r="CF24" s="806"/>
      <c r="CG24" s="806"/>
      <c r="CH24" s="806"/>
      <c r="CI24" s="806"/>
      <c r="CJ24" s="806"/>
      <c r="CK24" s="806"/>
      <c r="CL24" s="806"/>
      <c r="CM24" s="806"/>
      <c r="CN24" s="806"/>
      <c r="CO24" s="806"/>
      <c r="CP24" s="806"/>
      <c r="CQ24" s="806"/>
      <c r="CR24" s="806"/>
      <c r="CS24" s="806"/>
      <c r="CT24" s="806"/>
      <c r="CU24" s="806"/>
      <c r="CV24" s="806"/>
      <c r="CW24" s="806"/>
      <c r="CX24" s="806"/>
      <c r="CY24" s="806"/>
      <c r="CZ24" s="806"/>
      <c r="DA24" s="806"/>
      <c r="DB24" s="806"/>
      <c r="DC24" s="806"/>
      <c r="DD24" s="806"/>
      <c r="DE24" s="806"/>
      <c r="DF24" s="806"/>
      <c r="DG24" s="806"/>
      <c r="DH24" s="806"/>
      <c r="DI24" s="806"/>
      <c r="DJ24" s="806"/>
      <c r="DK24" s="806"/>
      <c r="DL24" s="806"/>
      <c r="DM24" s="806"/>
      <c r="DN24" s="806"/>
      <c r="DO24" s="806"/>
      <c r="DP24" s="806"/>
      <c r="DQ24" s="806"/>
      <c r="DR24" s="806"/>
      <c r="DS24" s="806"/>
      <c r="DT24" s="806"/>
      <c r="DU24" s="806"/>
      <c r="DV24" s="806"/>
      <c r="DW24" s="806"/>
      <c r="DX24" s="806"/>
      <c r="DY24" s="806"/>
      <c r="DZ24" s="806"/>
      <c r="EA24" s="806"/>
      <c r="EB24" s="806"/>
      <c r="EC24" s="806"/>
      <c r="ED24" s="806"/>
      <c r="EE24" s="806"/>
      <c r="EF24" s="806"/>
      <c r="EG24" s="806"/>
      <c r="EH24" s="806"/>
      <c r="EI24" s="806"/>
      <c r="EJ24" s="806"/>
      <c r="EK24" s="806"/>
      <c r="EL24" s="806"/>
      <c r="EM24" s="806"/>
      <c r="EN24" s="806"/>
      <c r="EO24" s="806"/>
      <c r="EP24" s="806"/>
      <c r="EQ24" s="806"/>
      <c r="ER24" s="806"/>
      <c r="ES24" s="806"/>
      <c r="ET24" s="806"/>
      <c r="EU24" s="806"/>
      <c r="EV24" s="806"/>
      <c r="EW24" s="806"/>
      <c r="EX24" s="806"/>
      <c r="EY24" s="806"/>
      <c r="EZ24" s="806"/>
      <c r="FA24" s="806"/>
      <c r="FB24" s="806"/>
      <c r="FC24" s="806"/>
      <c r="FD24" s="806"/>
      <c r="FE24" s="806"/>
      <c r="FF24" s="806"/>
      <c r="FG24" s="806"/>
      <c r="FH24" s="806"/>
      <c r="FI24" s="806"/>
      <c r="FJ24" s="806"/>
      <c r="FK24" s="806"/>
      <c r="FL24" s="806"/>
      <c r="FM24" s="806"/>
      <c r="FN24" s="806"/>
      <c r="FO24" s="806"/>
      <c r="FP24" s="806"/>
      <c r="FQ24" s="806"/>
      <c r="FR24" s="806"/>
      <c r="FS24" s="806"/>
      <c r="FT24" s="806"/>
      <c r="FU24" s="806"/>
      <c r="FV24" s="806"/>
      <c r="FW24" s="806"/>
      <c r="FX24" s="806"/>
      <c r="FY24" s="806"/>
      <c r="FZ24" s="806"/>
      <c r="GA24" s="806"/>
      <c r="GB24" s="806"/>
      <c r="GC24" s="806"/>
      <c r="GD24" s="806"/>
      <c r="GE24" s="806"/>
      <c r="GF24" s="806"/>
      <c r="GG24" s="806"/>
      <c r="GH24" s="806"/>
      <c r="GI24" s="806"/>
      <c r="GJ24" s="806"/>
      <c r="GK24" s="806"/>
      <c r="GL24" s="806"/>
      <c r="GM24" s="806"/>
      <c r="GN24" s="806"/>
      <c r="GO24" s="806"/>
      <c r="GP24" s="806"/>
      <c r="GQ24" s="806"/>
      <c r="GR24" s="806"/>
      <c r="GS24" s="806"/>
      <c r="GT24" s="806"/>
      <c r="GU24" s="806"/>
      <c r="GV24" s="806"/>
      <c r="GW24" s="806"/>
      <c r="GX24" s="806"/>
      <c r="GY24" s="806"/>
      <c r="GZ24" s="806"/>
      <c r="HA24" s="806"/>
      <c r="HB24" s="806"/>
      <c r="HC24" s="806"/>
      <c r="HD24" s="806"/>
      <c r="HE24" s="806"/>
      <c r="HF24" s="806"/>
      <c r="HG24" s="806"/>
      <c r="HH24" s="806"/>
      <c r="HI24" s="806"/>
      <c r="HJ24" s="806"/>
      <c r="HK24" s="806"/>
      <c r="HL24" s="806"/>
      <c r="HM24" s="806"/>
      <c r="HN24" s="806"/>
      <c r="HO24" s="806"/>
      <c r="HP24" s="806"/>
      <c r="HQ24" s="806"/>
      <c r="HR24" s="806"/>
      <c r="HS24" s="806"/>
      <c r="HT24" s="806"/>
      <c r="HU24" s="806"/>
      <c r="HV24" s="806"/>
      <c r="HW24" s="806"/>
      <c r="HX24" s="806"/>
      <c r="HY24" s="806"/>
      <c r="HZ24" s="806"/>
      <c r="IA24" s="806"/>
      <c r="IB24" s="806"/>
      <c r="IC24" s="806"/>
      <c r="ID24" s="806"/>
      <c r="IE24" s="806"/>
      <c r="IF24" s="806"/>
      <c r="IG24" s="806"/>
      <c r="IH24" s="806"/>
      <c r="II24" s="806"/>
      <c r="IJ24" s="806"/>
      <c r="IK24" s="806"/>
      <c r="IL24" s="806"/>
      <c r="IM24" s="806"/>
      <c r="IN24" s="806"/>
      <c r="IO24" s="806"/>
      <c r="IP24" s="806"/>
      <c r="IQ24" s="806"/>
      <c r="IR24" s="806"/>
      <c r="IS24" s="806"/>
      <c r="IT24" s="806"/>
      <c r="IU24" s="806"/>
      <c r="IV24" s="806"/>
    </row>
    <row r="25" spans="1:256" ht="12" customHeight="1">
      <c r="A25" s="802"/>
      <c r="B25" s="802"/>
      <c r="C25" s="802"/>
      <c r="D25" s="1226"/>
      <c r="E25" s="1224"/>
      <c r="F25" s="1226"/>
      <c r="G25" s="1224"/>
      <c r="H25" s="1226"/>
      <c r="I25" s="1224"/>
      <c r="J25" s="1226"/>
      <c r="K25" s="1224"/>
      <c r="L25" s="1226"/>
      <c r="M25" s="804"/>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806"/>
      <c r="BK25" s="806"/>
      <c r="BL25" s="806"/>
      <c r="BM25" s="806"/>
      <c r="BN25" s="806"/>
      <c r="BO25" s="806"/>
      <c r="BP25" s="806"/>
      <c r="BQ25" s="806"/>
      <c r="BR25" s="806"/>
      <c r="BS25" s="806"/>
      <c r="BT25" s="806"/>
      <c r="BU25" s="806"/>
      <c r="BV25" s="806"/>
      <c r="BW25" s="806"/>
      <c r="BX25" s="806"/>
      <c r="BY25" s="806"/>
      <c r="BZ25" s="806"/>
      <c r="CA25" s="806"/>
      <c r="CB25" s="806"/>
      <c r="CC25" s="806"/>
      <c r="CD25" s="806"/>
      <c r="CE25" s="806"/>
      <c r="CF25" s="806"/>
      <c r="CG25" s="806"/>
      <c r="CH25" s="806"/>
      <c r="CI25" s="806"/>
      <c r="CJ25" s="806"/>
      <c r="CK25" s="806"/>
      <c r="CL25" s="806"/>
      <c r="CM25" s="806"/>
      <c r="CN25" s="806"/>
      <c r="CO25" s="806"/>
      <c r="CP25" s="806"/>
      <c r="CQ25" s="806"/>
      <c r="CR25" s="806"/>
      <c r="CS25" s="806"/>
      <c r="CT25" s="806"/>
      <c r="CU25" s="806"/>
      <c r="CV25" s="806"/>
      <c r="CW25" s="806"/>
      <c r="CX25" s="806"/>
      <c r="CY25" s="806"/>
      <c r="CZ25" s="806"/>
      <c r="DA25" s="806"/>
      <c r="DB25" s="806"/>
      <c r="DC25" s="806"/>
      <c r="DD25" s="806"/>
      <c r="DE25" s="806"/>
      <c r="DF25" s="806"/>
      <c r="DG25" s="806"/>
      <c r="DH25" s="806"/>
      <c r="DI25" s="806"/>
      <c r="DJ25" s="806"/>
      <c r="DK25" s="806"/>
      <c r="DL25" s="806"/>
      <c r="DM25" s="806"/>
      <c r="DN25" s="806"/>
      <c r="DO25" s="806"/>
      <c r="DP25" s="806"/>
      <c r="DQ25" s="806"/>
      <c r="DR25" s="806"/>
      <c r="DS25" s="806"/>
      <c r="DT25" s="806"/>
      <c r="DU25" s="806"/>
      <c r="DV25" s="806"/>
      <c r="DW25" s="806"/>
      <c r="DX25" s="806"/>
      <c r="DY25" s="806"/>
      <c r="DZ25" s="806"/>
      <c r="EA25" s="806"/>
      <c r="EB25" s="806"/>
      <c r="EC25" s="806"/>
      <c r="ED25" s="806"/>
      <c r="EE25" s="806"/>
      <c r="EF25" s="806"/>
      <c r="EG25" s="806"/>
      <c r="EH25" s="806"/>
      <c r="EI25" s="806"/>
      <c r="EJ25" s="806"/>
      <c r="EK25" s="806"/>
      <c r="EL25" s="806"/>
      <c r="EM25" s="806"/>
      <c r="EN25" s="806"/>
      <c r="EO25" s="806"/>
      <c r="EP25" s="806"/>
      <c r="EQ25" s="806"/>
      <c r="ER25" s="806"/>
      <c r="ES25" s="806"/>
      <c r="ET25" s="806"/>
      <c r="EU25" s="806"/>
      <c r="EV25" s="806"/>
      <c r="EW25" s="806"/>
      <c r="EX25" s="806"/>
      <c r="EY25" s="806"/>
      <c r="EZ25" s="806"/>
      <c r="FA25" s="806"/>
      <c r="FB25" s="806"/>
      <c r="FC25" s="806"/>
      <c r="FD25" s="806"/>
      <c r="FE25" s="806"/>
      <c r="FF25" s="806"/>
      <c r="FG25" s="806"/>
      <c r="FH25" s="806"/>
      <c r="FI25" s="806"/>
      <c r="FJ25" s="806"/>
      <c r="FK25" s="806"/>
      <c r="FL25" s="806"/>
      <c r="FM25" s="806"/>
      <c r="FN25" s="806"/>
      <c r="FO25" s="806"/>
      <c r="FP25" s="806"/>
      <c r="FQ25" s="806"/>
      <c r="FR25" s="806"/>
      <c r="FS25" s="806"/>
      <c r="FT25" s="806"/>
      <c r="FU25" s="806"/>
      <c r="FV25" s="806"/>
      <c r="FW25" s="806"/>
      <c r="FX25" s="806"/>
      <c r="FY25" s="806"/>
      <c r="FZ25" s="806"/>
      <c r="GA25" s="806"/>
      <c r="GB25" s="806"/>
      <c r="GC25" s="806"/>
      <c r="GD25" s="806"/>
      <c r="GE25" s="806"/>
      <c r="GF25" s="806"/>
      <c r="GG25" s="806"/>
      <c r="GH25" s="806"/>
      <c r="GI25" s="806"/>
      <c r="GJ25" s="806"/>
      <c r="GK25" s="806"/>
      <c r="GL25" s="806"/>
      <c r="GM25" s="806"/>
      <c r="GN25" s="806"/>
      <c r="GO25" s="806"/>
      <c r="GP25" s="806"/>
      <c r="GQ25" s="806"/>
      <c r="GR25" s="806"/>
      <c r="GS25" s="806"/>
      <c r="GT25" s="806"/>
      <c r="GU25" s="806"/>
      <c r="GV25" s="806"/>
      <c r="GW25" s="806"/>
      <c r="GX25" s="806"/>
      <c r="GY25" s="806"/>
      <c r="GZ25" s="806"/>
      <c r="HA25" s="806"/>
      <c r="HB25" s="806"/>
      <c r="HC25" s="806"/>
      <c r="HD25" s="806"/>
      <c r="HE25" s="806"/>
      <c r="HF25" s="806"/>
      <c r="HG25" s="806"/>
      <c r="HH25" s="806"/>
      <c r="HI25" s="806"/>
      <c r="HJ25" s="806"/>
      <c r="HK25" s="806"/>
      <c r="HL25" s="806"/>
      <c r="HM25" s="806"/>
      <c r="HN25" s="806"/>
      <c r="HO25" s="806"/>
      <c r="HP25" s="806"/>
      <c r="HQ25" s="806"/>
      <c r="HR25" s="806"/>
      <c r="HS25" s="806"/>
      <c r="HT25" s="806"/>
      <c r="HU25" s="806"/>
      <c r="HV25" s="806"/>
      <c r="HW25" s="806"/>
      <c r="HX25" s="806"/>
      <c r="HY25" s="806"/>
      <c r="HZ25" s="806"/>
      <c r="IA25" s="806"/>
      <c r="IB25" s="806"/>
      <c r="IC25" s="806"/>
      <c r="ID25" s="806"/>
      <c r="IE25" s="806"/>
      <c r="IF25" s="806"/>
      <c r="IG25" s="806"/>
      <c r="IH25" s="806"/>
      <c r="II25" s="806"/>
      <c r="IJ25" s="806"/>
      <c r="IK25" s="806"/>
      <c r="IL25" s="806"/>
      <c r="IM25" s="806"/>
      <c r="IN25" s="806"/>
      <c r="IO25" s="806"/>
      <c r="IP25" s="806"/>
      <c r="IQ25" s="806"/>
      <c r="IR25" s="806"/>
      <c r="IS25" s="806"/>
      <c r="IT25" s="806"/>
      <c r="IU25" s="806"/>
      <c r="IV25" s="806"/>
    </row>
    <row r="26" spans="1:256" ht="18">
      <c r="A26" s="809" t="s">
        <v>381</v>
      </c>
      <c r="B26" s="802"/>
      <c r="C26" s="802"/>
      <c r="D26" s="1224"/>
      <c r="E26" s="1224"/>
      <c r="F26" s="1224"/>
      <c r="G26" s="1224"/>
      <c r="H26" s="1224"/>
      <c r="I26" s="1224"/>
      <c r="J26" s="1224"/>
      <c r="K26" s="1224"/>
      <c r="L26" s="1224"/>
      <c r="M26" s="804"/>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6"/>
      <c r="AY26" s="806"/>
      <c r="AZ26" s="806"/>
      <c r="BA26" s="806"/>
      <c r="BB26" s="806"/>
      <c r="BC26" s="806"/>
      <c r="BD26" s="806"/>
      <c r="BE26" s="806"/>
      <c r="BF26" s="806"/>
      <c r="BG26" s="806"/>
      <c r="BH26" s="806"/>
      <c r="BI26" s="806"/>
      <c r="BJ26" s="806"/>
      <c r="BK26" s="806"/>
      <c r="BL26" s="806"/>
      <c r="BM26" s="806"/>
      <c r="BN26" s="806"/>
      <c r="BO26" s="806"/>
      <c r="BP26" s="806"/>
      <c r="BQ26" s="806"/>
      <c r="BR26" s="806"/>
      <c r="BS26" s="806"/>
      <c r="BT26" s="806"/>
      <c r="BU26" s="806"/>
      <c r="BV26" s="806"/>
      <c r="BW26" s="806"/>
      <c r="BX26" s="806"/>
      <c r="BY26" s="806"/>
      <c r="BZ26" s="806"/>
      <c r="CA26" s="806"/>
      <c r="CB26" s="806"/>
      <c r="CC26" s="806"/>
      <c r="CD26" s="806"/>
      <c r="CE26" s="806"/>
      <c r="CF26" s="806"/>
      <c r="CG26" s="806"/>
      <c r="CH26" s="806"/>
      <c r="CI26" s="806"/>
      <c r="CJ26" s="806"/>
      <c r="CK26" s="806"/>
      <c r="CL26" s="806"/>
      <c r="CM26" s="806"/>
      <c r="CN26" s="806"/>
      <c r="CO26" s="806"/>
      <c r="CP26" s="806"/>
      <c r="CQ26" s="806"/>
      <c r="CR26" s="806"/>
      <c r="CS26" s="806"/>
      <c r="CT26" s="806"/>
      <c r="CU26" s="806"/>
      <c r="CV26" s="806"/>
      <c r="CW26" s="806"/>
      <c r="CX26" s="806"/>
      <c r="CY26" s="806"/>
      <c r="CZ26" s="806"/>
      <c r="DA26" s="806"/>
      <c r="DB26" s="806"/>
      <c r="DC26" s="806"/>
      <c r="DD26" s="806"/>
      <c r="DE26" s="806"/>
      <c r="DF26" s="806"/>
      <c r="DG26" s="806"/>
      <c r="DH26" s="806"/>
      <c r="DI26" s="806"/>
      <c r="DJ26" s="806"/>
      <c r="DK26" s="806"/>
      <c r="DL26" s="806"/>
      <c r="DM26" s="806"/>
      <c r="DN26" s="806"/>
      <c r="DO26" s="806"/>
      <c r="DP26" s="806"/>
      <c r="DQ26" s="806"/>
      <c r="DR26" s="806"/>
      <c r="DS26" s="806"/>
      <c r="DT26" s="806"/>
      <c r="DU26" s="806"/>
      <c r="DV26" s="806"/>
      <c r="DW26" s="806"/>
      <c r="DX26" s="806"/>
      <c r="DY26" s="806"/>
      <c r="DZ26" s="806"/>
      <c r="EA26" s="806"/>
      <c r="EB26" s="806"/>
      <c r="EC26" s="806"/>
      <c r="ED26" s="806"/>
      <c r="EE26" s="806"/>
      <c r="EF26" s="806"/>
      <c r="EG26" s="806"/>
      <c r="EH26" s="806"/>
      <c r="EI26" s="806"/>
      <c r="EJ26" s="806"/>
      <c r="EK26" s="806"/>
      <c r="EL26" s="806"/>
      <c r="EM26" s="806"/>
      <c r="EN26" s="806"/>
      <c r="EO26" s="806"/>
      <c r="EP26" s="806"/>
      <c r="EQ26" s="806"/>
      <c r="ER26" s="806"/>
      <c r="ES26" s="806"/>
      <c r="ET26" s="806"/>
      <c r="EU26" s="806"/>
      <c r="EV26" s="806"/>
      <c r="EW26" s="806"/>
      <c r="EX26" s="806"/>
      <c r="EY26" s="806"/>
      <c r="EZ26" s="806"/>
      <c r="FA26" s="806"/>
      <c r="FB26" s="806"/>
      <c r="FC26" s="806"/>
      <c r="FD26" s="806"/>
      <c r="FE26" s="806"/>
      <c r="FF26" s="806"/>
      <c r="FG26" s="806"/>
      <c r="FH26" s="806"/>
      <c r="FI26" s="806"/>
      <c r="FJ26" s="806"/>
      <c r="FK26" s="806"/>
      <c r="FL26" s="806"/>
      <c r="FM26" s="806"/>
      <c r="FN26" s="806"/>
      <c r="FO26" s="806"/>
      <c r="FP26" s="806"/>
      <c r="FQ26" s="806"/>
      <c r="FR26" s="806"/>
      <c r="FS26" s="806"/>
      <c r="FT26" s="806"/>
      <c r="FU26" s="806"/>
      <c r="FV26" s="806"/>
      <c r="FW26" s="806"/>
      <c r="FX26" s="806"/>
      <c r="FY26" s="806"/>
      <c r="FZ26" s="806"/>
      <c r="GA26" s="806"/>
      <c r="GB26" s="806"/>
      <c r="GC26" s="806"/>
      <c r="GD26" s="806"/>
      <c r="GE26" s="806"/>
      <c r="GF26" s="806"/>
      <c r="GG26" s="806"/>
      <c r="GH26" s="806"/>
      <c r="GI26" s="806"/>
      <c r="GJ26" s="806"/>
      <c r="GK26" s="806"/>
      <c r="GL26" s="806"/>
      <c r="GM26" s="806"/>
      <c r="GN26" s="806"/>
      <c r="GO26" s="806"/>
      <c r="GP26" s="806"/>
      <c r="GQ26" s="806"/>
      <c r="GR26" s="806"/>
      <c r="GS26" s="806"/>
      <c r="GT26" s="806"/>
      <c r="GU26" s="806"/>
      <c r="GV26" s="806"/>
      <c r="GW26" s="806"/>
      <c r="GX26" s="806"/>
      <c r="GY26" s="806"/>
      <c r="GZ26" s="806"/>
      <c r="HA26" s="806"/>
      <c r="HB26" s="806"/>
      <c r="HC26" s="806"/>
      <c r="HD26" s="806"/>
      <c r="HE26" s="806"/>
      <c r="HF26" s="806"/>
      <c r="HG26" s="806"/>
      <c r="HH26" s="806"/>
      <c r="HI26" s="806"/>
      <c r="HJ26" s="806"/>
      <c r="HK26" s="806"/>
      <c r="HL26" s="806"/>
      <c r="HM26" s="806"/>
      <c r="HN26" s="806"/>
      <c r="HO26" s="806"/>
      <c r="HP26" s="806"/>
      <c r="HQ26" s="806"/>
      <c r="HR26" s="806"/>
      <c r="HS26" s="806"/>
      <c r="HT26" s="806"/>
      <c r="HU26" s="806"/>
      <c r="HV26" s="806"/>
      <c r="HW26" s="806"/>
      <c r="HX26" s="806"/>
      <c r="HY26" s="806"/>
      <c r="HZ26" s="806"/>
      <c r="IA26" s="806"/>
      <c r="IB26" s="806"/>
      <c r="IC26" s="806"/>
      <c r="ID26" s="806"/>
      <c r="IE26" s="806"/>
      <c r="IF26" s="806"/>
      <c r="IG26" s="806"/>
      <c r="IH26" s="806"/>
      <c r="II26" s="806"/>
      <c r="IJ26" s="806"/>
      <c r="IK26" s="806"/>
      <c r="IL26" s="806"/>
      <c r="IM26" s="806"/>
      <c r="IN26" s="806"/>
      <c r="IO26" s="806"/>
      <c r="IP26" s="806"/>
      <c r="IQ26" s="806"/>
      <c r="IR26" s="806"/>
      <c r="IS26" s="806"/>
      <c r="IT26" s="806"/>
      <c r="IU26" s="806"/>
      <c r="IV26" s="806"/>
    </row>
    <row r="27" spans="1:256" ht="7.5" customHeight="1">
      <c r="A27" s="806" t="s">
        <v>15</v>
      </c>
      <c r="B27" s="806"/>
      <c r="C27" s="806"/>
      <c r="D27" s="781"/>
      <c r="E27" s="781"/>
      <c r="F27" s="781"/>
      <c r="G27" s="781"/>
      <c r="H27" s="781"/>
      <c r="I27" s="781"/>
      <c r="J27" s="781"/>
      <c r="K27" s="781"/>
      <c r="L27" s="781"/>
      <c r="M27" s="804"/>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6"/>
      <c r="AZ27" s="806"/>
      <c r="BA27" s="806"/>
      <c r="BB27" s="806"/>
      <c r="BC27" s="806"/>
      <c r="BD27" s="806"/>
      <c r="BE27" s="806"/>
      <c r="BF27" s="806"/>
      <c r="BG27" s="806"/>
      <c r="BH27" s="806"/>
      <c r="BI27" s="806"/>
      <c r="BJ27" s="806"/>
      <c r="BK27" s="806"/>
      <c r="BL27" s="806"/>
      <c r="BM27" s="806"/>
      <c r="BN27" s="806"/>
      <c r="BO27" s="806"/>
      <c r="BP27" s="806"/>
      <c r="BQ27" s="806"/>
      <c r="BR27" s="806"/>
      <c r="BS27" s="806"/>
      <c r="BT27" s="806"/>
      <c r="BU27" s="806"/>
      <c r="BV27" s="806"/>
      <c r="BW27" s="806"/>
      <c r="BX27" s="806"/>
      <c r="BY27" s="806"/>
      <c r="BZ27" s="806"/>
      <c r="CA27" s="806"/>
      <c r="CB27" s="806"/>
      <c r="CC27" s="806"/>
      <c r="CD27" s="806"/>
      <c r="CE27" s="806"/>
      <c r="CF27" s="806"/>
      <c r="CG27" s="806"/>
      <c r="CH27" s="806"/>
      <c r="CI27" s="806"/>
      <c r="CJ27" s="806"/>
      <c r="CK27" s="806"/>
      <c r="CL27" s="806"/>
      <c r="CM27" s="806"/>
      <c r="CN27" s="806"/>
      <c r="CO27" s="806"/>
      <c r="CP27" s="806"/>
      <c r="CQ27" s="806"/>
      <c r="CR27" s="806"/>
      <c r="CS27" s="806"/>
      <c r="CT27" s="806"/>
      <c r="CU27" s="806"/>
      <c r="CV27" s="806"/>
      <c r="CW27" s="806"/>
      <c r="CX27" s="806"/>
      <c r="CY27" s="806"/>
      <c r="CZ27" s="806"/>
      <c r="DA27" s="806"/>
      <c r="DB27" s="806"/>
      <c r="DC27" s="806"/>
      <c r="DD27" s="806"/>
      <c r="DE27" s="806"/>
      <c r="DF27" s="806"/>
      <c r="DG27" s="806"/>
      <c r="DH27" s="806"/>
      <c r="DI27" s="806"/>
      <c r="DJ27" s="806"/>
      <c r="DK27" s="806"/>
      <c r="DL27" s="806"/>
      <c r="DM27" s="806"/>
      <c r="DN27" s="806"/>
      <c r="DO27" s="806"/>
      <c r="DP27" s="806"/>
      <c r="DQ27" s="806"/>
      <c r="DR27" s="806"/>
      <c r="DS27" s="806"/>
      <c r="DT27" s="806"/>
      <c r="DU27" s="806"/>
      <c r="DV27" s="806"/>
      <c r="DW27" s="806"/>
      <c r="DX27" s="806"/>
      <c r="DY27" s="806"/>
      <c r="DZ27" s="806"/>
      <c r="EA27" s="806"/>
      <c r="EB27" s="806"/>
      <c r="EC27" s="806"/>
      <c r="ED27" s="806"/>
      <c r="EE27" s="806"/>
      <c r="EF27" s="806"/>
      <c r="EG27" s="806"/>
      <c r="EH27" s="806"/>
      <c r="EI27" s="806"/>
      <c r="EJ27" s="806"/>
      <c r="EK27" s="806"/>
      <c r="EL27" s="806"/>
      <c r="EM27" s="806"/>
      <c r="EN27" s="806"/>
      <c r="EO27" s="806"/>
      <c r="EP27" s="806"/>
      <c r="EQ27" s="806"/>
      <c r="ER27" s="806"/>
      <c r="ES27" s="806"/>
      <c r="ET27" s="806"/>
      <c r="EU27" s="806"/>
      <c r="EV27" s="806"/>
      <c r="EW27" s="806"/>
      <c r="EX27" s="806"/>
      <c r="EY27" s="806"/>
      <c r="EZ27" s="806"/>
      <c r="FA27" s="806"/>
      <c r="FB27" s="806"/>
      <c r="FC27" s="806"/>
      <c r="FD27" s="806"/>
      <c r="FE27" s="806"/>
      <c r="FF27" s="806"/>
      <c r="FG27" s="806"/>
      <c r="FH27" s="806"/>
      <c r="FI27" s="806"/>
      <c r="FJ27" s="806"/>
      <c r="FK27" s="806"/>
      <c r="FL27" s="806"/>
      <c r="FM27" s="806"/>
      <c r="FN27" s="806"/>
      <c r="FO27" s="806"/>
      <c r="FP27" s="806"/>
      <c r="FQ27" s="806"/>
      <c r="FR27" s="806"/>
      <c r="FS27" s="806"/>
      <c r="FT27" s="806"/>
      <c r="FU27" s="806"/>
      <c r="FV27" s="806"/>
      <c r="FW27" s="806"/>
      <c r="FX27" s="806"/>
      <c r="FY27" s="806"/>
      <c r="FZ27" s="806"/>
      <c r="GA27" s="806"/>
      <c r="GB27" s="806"/>
      <c r="GC27" s="806"/>
      <c r="GD27" s="806"/>
      <c r="GE27" s="806"/>
      <c r="GF27" s="806"/>
      <c r="GG27" s="806"/>
      <c r="GH27" s="806"/>
      <c r="GI27" s="806"/>
      <c r="GJ27" s="806"/>
      <c r="GK27" s="806"/>
      <c r="GL27" s="806"/>
      <c r="GM27" s="806"/>
      <c r="GN27" s="806"/>
      <c r="GO27" s="806"/>
      <c r="GP27" s="806"/>
      <c r="GQ27" s="806"/>
      <c r="GR27" s="806"/>
      <c r="GS27" s="806"/>
      <c r="GT27" s="806"/>
      <c r="GU27" s="806"/>
      <c r="GV27" s="806"/>
      <c r="GW27" s="806"/>
      <c r="GX27" s="806"/>
      <c r="GY27" s="806"/>
      <c r="GZ27" s="806"/>
      <c r="HA27" s="806"/>
      <c r="HB27" s="806"/>
      <c r="HC27" s="806"/>
      <c r="HD27" s="806"/>
      <c r="HE27" s="806"/>
      <c r="HF27" s="806"/>
      <c r="HG27" s="806"/>
      <c r="HH27" s="806"/>
      <c r="HI27" s="806"/>
      <c r="HJ27" s="806"/>
      <c r="HK27" s="806"/>
      <c r="HL27" s="806"/>
      <c r="HM27" s="806"/>
      <c r="HN27" s="806"/>
      <c r="HO27" s="806"/>
      <c r="HP27" s="806"/>
      <c r="HQ27" s="806"/>
      <c r="HR27" s="806"/>
      <c r="HS27" s="806"/>
      <c r="HT27" s="806"/>
      <c r="HU27" s="806"/>
      <c r="HV27" s="806"/>
      <c r="HW27" s="806"/>
      <c r="HX27" s="806"/>
      <c r="HY27" s="806"/>
      <c r="HZ27" s="806"/>
      <c r="IA27" s="806"/>
      <c r="IB27" s="806"/>
      <c r="IC27" s="806"/>
      <c r="ID27" s="806"/>
      <c r="IE27" s="806"/>
      <c r="IF27" s="806"/>
      <c r="IG27" s="806"/>
      <c r="IH27" s="806"/>
      <c r="II27" s="806"/>
      <c r="IJ27" s="806"/>
      <c r="IK27" s="806"/>
      <c r="IL27" s="806"/>
      <c r="IM27" s="806"/>
      <c r="IN27" s="806"/>
      <c r="IO27" s="806"/>
      <c r="IP27" s="806"/>
      <c r="IQ27" s="806"/>
      <c r="IR27" s="806"/>
      <c r="IS27" s="806"/>
      <c r="IT27" s="806"/>
      <c r="IU27" s="806"/>
      <c r="IV27" s="806"/>
    </row>
    <row r="28" spans="1:256" ht="16.5" customHeight="1">
      <c r="A28" s="806" t="s">
        <v>1103</v>
      </c>
      <c r="B28" s="806"/>
      <c r="C28" s="806" t="s">
        <v>15</v>
      </c>
      <c r="D28" s="2802">
        <v>21.655999999999999</v>
      </c>
      <c r="E28" s="2799"/>
      <c r="F28" s="2802">
        <v>2.427</v>
      </c>
      <c r="G28" s="2799"/>
      <c r="H28" s="2802">
        <v>3.2589999999999999</v>
      </c>
      <c r="I28" s="2799"/>
      <c r="J28" s="2802">
        <v>0</v>
      </c>
      <c r="K28" s="2800"/>
      <c r="L28" s="2803">
        <f t="shared" ref="L28:L44" si="0">ROUND(SUM(D28)+SUM(F28)-SUM(H28)+SUM(J28),3)</f>
        <v>20.824000000000002</v>
      </c>
      <c r="M28" s="813"/>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6"/>
      <c r="BI28" s="806"/>
      <c r="BJ28" s="806"/>
      <c r="BK28" s="806"/>
      <c r="BL28" s="806"/>
      <c r="BM28" s="806"/>
      <c r="BN28" s="806"/>
      <c r="BO28" s="806"/>
      <c r="BP28" s="806"/>
      <c r="BQ28" s="806"/>
      <c r="BR28" s="806"/>
      <c r="BS28" s="806"/>
      <c r="BT28" s="806"/>
      <c r="BU28" s="806"/>
      <c r="BV28" s="806"/>
      <c r="BW28" s="806"/>
      <c r="BX28" s="806"/>
      <c r="BY28" s="806"/>
      <c r="BZ28" s="806"/>
      <c r="CA28" s="806"/>
      <c r="CB28" s="806"/>
      <c r="CC28" s="806"/>
      <c r="CD28" s="806"/>
      <c r="CE28" s="806"/>
      <c r="CF28" s="806"/>
      <c r="CG28" s="806"/>
      <c r="CH28" s="806"/>
      <c r="CI28" s="806"/>
      <c r="CJ28" s="806"/>
      <c r="CK28" s="806"/>
      <c r="CL28" s="806"/>
      <c r="CM28" s="806"/>
      <c r="CN28" s="806"/>
      <c r="CO28" s="806"/>
      <c r="CP28" s="806"/>
      <c r="CQ28" s="806"/>
      <c r="CR28" s="806"/>
      <c r="CS28" s="806"/>
      <c r="CT28" s="806"/>
      <c r="CU28" s="806"/>
      <c r="CV28" s="806"/>
      <c r="CW28" s="806"/>
      <c r="CX28" s="806"/>
      <c r="CY28" s="806"/>
      <c r="CZ28" s="806"/>
      <c r="DA28" s="806"/>
      <c r="DB28" s="806"/>
      <c r="DC28" s="806"/>
      <c r="DD28" s="806"/>
      <c r="DE28" s="806"/>
      <c r="DF28" s="806"/>
      <c r="DG28" s="806"/>
      <c r="DH28" s="806"/>
      <c r="DI28" s="806"/>
      <c r="DJ28" s="806"/>
      <c r="DK28" s="806"/>
      <c r="DL28" s="806"/>
      <c r="DM28" s="806"/>
      <c r="DN28" s="806"/>
      <c r="DO28" s="806"/>
      <c r="DP28" s="806"/>
      <c r="DQ28" s="806"/>
      <c r="DR28" s="806"/>
      <c r="DS28" s="806"/>
      <c r="DT28" s="806"/>
      <c r="DU28" s="806"/>
      <c r="DV28" s="806"/>
      <c r="DW28" s="806"/>
      <c r="DX28" s="806"/>
      <c r="DY28" s="806"/>
      <c r="DZ28" s="806"/>
      <c r="EA28" s="806"/>
      <c r="EB28" s="806"/>
      <c r="EC28" s="806"/>
      <c r="ED28" s="806"/>
      <c r="EE28" s="806"/>
      <c r="EF28" s="806"/>
      <c r="EG28" s="806"/>
      <c r="EH28" s="806"/>
      <c r="EI28" s="806"/>
      <c r="EJ28" s="806"/>
      <c r="EK28" s="806"/>
      <c r="EL28" s="806"/>
      <c r="EM28" s="806"/>
      <c r="EN28" s="806"/>
      <c r="EO28" s="806"/>
      <c r="EP28" s="806"/>
      <c r="EQ28" s="806"/>
      <c r="ER28" s="806"/>
      <c r="ES28" s="806"/>
      <c r="ET28" s="806"/>
      <c r="EU28" s="806"/>
      <c r="EV28" s="806"/>
      <c r="EW28" s="806"/>
      <c r="EX28" s="806"/>
      <c r="EY28" s="806"/>
      <c r="EZ28" s="806"/>
      <c r="FA28" s="806"/>
      <c r="FB28" s="806"/>
      <c r="FC28" s="806"/>
      <c r="FD28" s="806"/>
      <c r="FE28" s="806"/>
      <c r="FF28" s="806"/>
      <c r="FG28" s="806"/>
      <c r="FH28" s="806"/>
      <c r="FI28" s="806"/>
      <c r="FJ28" s="806"/>
      <c r="FK28" s="806"/>
      <c r="FL28" s="806"/>
      <c r="FM28" s="806"/>
      <c r="FN28" s="806"/>
      <c r="FO28" s="806"/>
      <c r="FP28" s="806"/>
      <c r="FQ28" s="806"/>
      <c r="FR28" s="806"/>
      <c r="FS28" s="806"/>
      <c r="FT28" s="806"/>
      <c r="FU28" s="806"/>
      <c r="FV28" s="806"/>
      <c r="FW28" s="806"/>
      <c r="FX28" s="806"/>
      <c r="FY28" s="806"/>
      <c r="FZ28" s="806"/>
      <c r="GA28" s="806"/>
      <c r="GB28" s="806"/>
      <c r="GC28" s="806"/>
      <c r="GD28" s="806"/>
      <c r="GE28" s="806"/>
      <c r="GF28" s="806"/>
      <c r="GG28" s="806"/>
      <c r="GH28" s="806"/>
      <c r="GI28" s="806"/>
      <c r="GJ28" s="806"/>
      <c r="GK28" s="806"/>
      <c r="GL28" s="806"/>
      <c r="GM28" s="806"/>
      <c r="GN28" s="806"/>
      <c r="GO28" s="806"/>
      <c r="GP28" s="806"/>
      <c r="GQ28" s="806"/>
      <c r="GR28" s="806"/>
      <c r="GS28" s="806"/>
      <c r="GT28" s="806"/>
      <c r="GU28" s="806"/>
      <c r="GV28" s="806"/>
      <c r="GW28" s="806"/>
      <c r="GX28" s="806"/>
      <c r="GY28" s="806"/>
      <c r="GZ28" s="806"/>
      <c r="HA28" s="806"/>
      <c r="HB28" s="806"/>
      <c r="HC28" s="806"/>
      <c r="HD28" s="806"/>
      <c r="HE28" s="806"/>
      <c r="HF28" s="806"/>
      <c r="HG28" s="806"/>
      <c r="HH28" s="806"/>
      <c r="HI28" s="806"/>
      <c r="HJ28" s="806"/>
      <c r="HK28" s="806"/>
      <c r="HL28" s="806"/>
      <c r="HM28" s="806"/>
      <c r="HN28" s="806"/>
      <c r="HO28" s="806"/>
      <c r="HP28" s="806"/>
      <c r="HQ28" s="806"/>
      <c r="HR28" s="806"/>
      <c r="HS28" s="806"/>
      <c r="HT28" s="806"/>
      <c r="HU28" s="806"/>
      <c r="HV28" s="806"/>
      <c r="HW28" s="806"/>
      <c r="HX28" s="806"/>
      <c r="HY28" s="806"/>
      <c r="HZ28" s="806"/>
      <c r="IA28" s="806"/>
      <c r="IB28" s="806"/>
      <c r="IC28" s="806"/>
      <c r="ID28" s="806"/>
      <c r="IE28" s="806"/>
      <c r="IF28" s="806"/>
      <c r="IG28" s="806"/>
      <c r="IH28" s="806"/>
      <c r="II28" s="806"/>
      <c r="IJ28" s="806"/>
      <c r="IK28" s="806"/>
      <c r="IL28" s="806"/>
      <c r="IM28" s="806"/>
      <c r="IN28" s="806"/>
      <c r="IO28" s="806"/>
      <c r="IP28" s="806"/>
      <c r="IQ28" s="806"/>
      <c r="IR28" s="806"/>
      <c r="IS28" s="806"/>
      <c r="IT28" s="806"/>
      <c r="IU28" s="806"/>
      <c r="IV28" s="806"/>
    </row>
    <row r="29" spans="1:256" ht="15.75" customHeight="1">
      <c r="A29" s="1227" t="s">
        <v>382</v>
      </c>
      <c r="B29" s="806"/>
      <c r="C29" s="806"/>
      <c r="D29" s="2802">
        <v>0.49199999999999999</v>
      </c>
      <c r="E29" s="2799"/>
      <c r="F29" s="2802">
        <v>3.0000000000000001E-3</v>
      </c>
      <c r="G29" s="2799"/>
      <c r="H29" s="2802">
        <v>2E-3</v>
      </c>
      <c r="I29" s="2799"/>
      <c r="J29" s="2802">
        <v>0</v>
      </c>
      <c r="K29" s="2800"/>
      <c r="L29" s="2803">
        <f t="shared" si="0"/>
        <v>0.49299999999999999</v>
      </c>
      <c r="M29" s="813"/>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c r="BC29" s="806"/>
      <c r="BD29" s="806"/>
      <c r="BE29" s="806"/>
      <c r="BF29" s="806"/>
      <c r="BG29" s="806"/>
      <c r="BH29" s="806"/>
      <c r="BI29" s="806"/>
      <c r="BJ29" s="806"/>
      <c r="BK29" s="806"/>
      <c r="BL29" s="806"/>
      <c r="BM29" s="806"/>
      <c r="BN29" s="806"/>
      <c r="BO29" s="806"/>
      <c r="BP29" s="806"/>
      <c r="BQ29" s="806"/>
      <c r="BR29" s="806"/>
      <c r="BS29" s="806"/>
      <c r="BT29" s="806"/>
      <c r="BU29" s="806"/>
      <c r="BV29" s="806"/>
      <c r="BW29" s="806"/>
      <c r="BX29" s="806"/>
      <c r="BY29" s="806"/>
      <c r="BZ29" s="806"/>
      <c r="CA29" s="806"/>
      <c r="CB29" s="806"/>
      <c r="CC29" s="806"/>
      <c r="CD29" s="806"/>
      <c r="CE29" s="806"/>
      <c r="CF29" s="806"/>
      <c r="CG29" s="806"/>
      <c r="CH29" s="806"/>
      <c r="CI29" s="806"/>
      <c r="CJ29" s="806"/>
      <c r="CK29" s="806"/>
      <c r="CL29" s="806"/>
      <c r="CM29" s="806"/>
      <c r="CN29" s="806"/>
      <c r="CO29" s="806"/>
      <c r="CP29" s="806"/>
      <c r="CQ29" s="806"/>
      <c r="CR29" s="806"/>
      <c r="CS29" s="806"/>
      <c r="CT29" s="806"/>
      <c r="CU29" s="806"/>
      <c r="CV29" s="806"/>
      <c r="CW29" s="806"/>
      <c r="CX29" s="806"/>
      <c r="CY29" s="806"/>
      <c r="CZ29" s="806"/>
      <c r="DA29" s="806"/>
      <c r="DB29" s="806"/>
      <c r="DC29" s="806"/>
      <c r="DD29" s="806"/>
      <c r="DE29" s="806"/>
      <c r="DF29" s="806"/>
      <c r="DG29" s="806"/>
      <c r="DH29" s="806"/>
      <c r="DI29" s="806"/>
      <c r="DJ29" s="806"/>
      <c r="DK29" s="806"/>
      <c r="DL29" s="806"/>
      <c r="DM29" s="806"/>
      <c r="DN29" s="806"/>
      <c r="DO29" s="806"/>
      <c r="DP29" s="806"/>
      <c r="DQ29" s="806"/>
      <c r="DR29" s="806"/>
      <c r="DS29" s="806"/>
      <c r="DT29" s="806"/>
      <c r="DU29" s="806"/>
      <c r="DV29" s="806"/>
      <c r="DW29" s="806"/>
      <c r="DX29" s="806"/>
      <c r="DY29" s="806"/>
      <c r="DZ29" s="806"/>
      <c r="EA29" s="806"/>
      <c r="EB29" s="806"/>
      <c r="EC29" s="806"/>
      <c r="ED29" s="806"/>
      <c r="EE29" s="806"/>
      <c r="EF29" s="806"/>
      <c r="EG29" s="806"/>
      <c r="EH29" s="806"/>
      <c r="EI29" s="806"/>
      <c r="EJ29" s="806"/>
      <c r="EK29" s="806"/>
      <c r="EL29" s="806"/>
      <c r="EM29" s="806"/>
      <c r="EN29" s="806"/>
      <c r="EO29" s="806"/>
      <c r="EP29" s="806"/>
      <c r="EQ29" s="806"/>
      <c r="ER29" s="806"/>
      <c r="ES29" s="806"/>
      <c r="ET29" s="806"/>
      <c r="EU29" s="806"/>
      <c r="EV29" s="806"/>
      <c r="EW29" s="806"/>
      <c r="EX29" s="806"/>
      <c r="EY29" s="806"/>
      <c r="EZ29" s="806"/>
      <c r="FA29" s="806"/>
      <c r="FB29" s="806"/>
      <c r="FC29" s="806"/>
      <c r="FD29" s="806"/>
      <c r="FE29" s="806"/>
      <c r="FF29" s="806"/>
      <c r="FG29" s="806"/>
      <c r="FH29" s="806"/>
      <c r="FI29" s="806"/>
      <c r="FJ29" s="806"/>
      <c r="FK29" s="806"/>
      <c r="FL29" s="806"/>
      <c r="FM29" s="806"/>
      <c r="FN29" s="806"/>
      <c r="FO29" s="806"/>
      <c r="FP29" s="806"/>
      <c r="FQ29" s="806"/>
      <c r="FR29" s="806"/>
      <c r="FS29" s="806"/>
      <c r="FT29" s="806"/>
      <c r="FU29" s="806"/>
      <c r="FV29" s="806"/>
      <c r="FW29" s="806"/>
      <c r="FX29" s="806"/>
      <c r="FY29" s="806"/>
      <c r="FZ29" s="806"/>
      <c r="GA29" s="806"/>
      <c r="GB29" s="806"/>
      <c r="GC29" s="806"/>
      <c r="GD29" s="806"/>
      <c r="GE29" s="806"/>
      <c r="GF29" s="806"/>
      <c r="GG29" s="806"/>
      <c r="GH29" s="806"/>
      <c r="GI29" s="806"/>
      <c r="GJ29" s="806"/>
      <c r="GK29" s="806"/>
      <c r="GL29" s="806"/>
      <c r="GM29" s="806"/>
      <c r="GN29" s="806"/>
      <c r="GO29" s="806"/>
      <c r="GP29" s="806"/>
      <c r="GQ29" s="806"/>
      <c r="GR29" s="806"/>
      <c r="GS29" s="806"/>
      <c r="GT29" s="806"/>
      <c r="GU29" s="806"/>
      <c r="GV29" s="806"/>
      <c r="GW29" s="806"/>
      <c r="GX29" s="806"/>
      <c r="GY29" s="806"/>
      <c r="GZ29" s="806"/>
      <c r="HA29" s="806"/>
      <c r="HB29" s="806"/>
      <c r="HC29" s="806"/>
      <c r="HD29" s="806"/>
      <c r="HE29" s="806"/>
      <c r="HF29" s="806"/>
      <c r="HG29" s="806"/>
      <c r="HH29" s="806"/>
      <c r="HI29" s="806"/>
      <c r="HJ29" s="806"/>
      <c r="HK29" s="806"/>
      <c r="HL29" s="806"/>
      <c r="HM29" s="806"/>
      <c r="HN29" s="806"/>
      <c r="HO29" s="806"/>
      <c r="HP29" s="806"/>
      <c r="HQ29" s="806"/>
      <c r="HR29" s="806"/>
      <c r="HS29" s="806"/>
      <c r="HT29" s="806"/>
      <c r="HU29" s="806"/>
      <c r="HV29" s="806"/>
      <c r="HW29" s="806"/>
      <c r="HX29" s="806"/>
      <c r="HY29" s="806"/>
      <c r="HZ29" s="806"/>
      <c r="IA29" s="806"/>
      <c r="IB29" s="806"/>
      <c r="IC29" s="806"/>
      <c r="ID29" s="806"/>
      <c r="IE29" s="806"/>
      <c r="IF29" s="806"/>
      <c r="IG29" s="806"/>
      <c r="IH29" s="806"/>
      <c r="II29" s="806"/>
      <c r="IJ29" s="806"/>
      <c r="IK29" s="806"/>
      <c r="IL29" s="806"/>
      <c r="IM29" s="806"/>
      <c r="IN29" s="806"/>
      <c r="IO29" s="806"/>
      <c r="IP29" s="806"/>
      <c r="IQ29" s="806"/>
      <c r="IR29" s="806"/>
      <c r="IS29" s="806"/>
      <c r="IT29" s="806"/>
      <c r="IU29" s="806"/>
      <c r="IV29" s="806"/>
    </row>
    <row r="30" spans="1:256" ht="16.5" customHeight="1">
      <c r="A30" s="806" t="s">
        <v>383</v>
      </c>
      <c r="B30" s="806"/>
      <c r="C30" s="806"/>
      <c r="D30" s="2802">
        <v>909.346</v>
      </c>
      <c r="E30" s="2799"/>
      <c r="F30" s="2802">
        <v>705.779</v>
      </c>
      <c r="G30" s="2799"/>
      <c r="H30" s="2802">
        <v>874.59100000000001</v>
      </c>
      <c r="I30" s="2799"/>
      <c r="J30" s="2802">
        <v>0</v>
      </c>
      <c r="K30" s="2800"/>
      <c r="L30" s="2803">
        <f t="shared" si="0"/>
        <v>740.53399999999999</v>
      </c>
      <c r="M30" s="813"/>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6"/>
      <c r="AY30" s="806"/>
      <c r="AZ30" s="806"/>
      <c r="BA30" s="806"/>
      <c r="BB30" s="806"/>
      <c r="BC30" s="806"/>
      <c r="BD30" s="806"/>
      <c r="BE30" s="806"/>
      <c r="BF30" s="806"/>
      <c r="BG30" s="806"/>
      <c r="BH30" s="806"/>
      <c r="BI30" s="806"/>
      <c r="BJ30" s="806"/>
      <c r="BK30" s="806"/>
      <c r="BL30" s="806"/>
      <c r="BM30" s="806"/>
      <c r="BN30" s="806"/>
      <c r="BO30" s="806"/>
      <c r="BP30" s="806"/>
      <c r="BQ30" s="806"/>
      <c r="BR30" s="806"/>
      <c r="BS30" s="806"/>
      <c r="BT30" s="806"/>
      <c r="BU30" s="806"/>
      <c r="BV30" s="806"/>
      <c r="BW30" s="806"/>
      <c r="BX30" s="806"/>
      <c r="BY30" s="806"/>
      <c r="BZ30" s="806"/>
      <c r="CA30" s="806"/>
      <c r="CB30" s="806"/>
      <c r="CC30" s="806"/>
      <c r="CD30" s="806"/>
      <c r="CE30" s="806"/>
      <c r="CF30" s="806"/>
      <c r="CG30" s="806"/>
      <c r="CH30" s="806"/>
      <c r="CI30" s="806"/>
      <c r="CJ30" s="806"/>
      <c r="CK30" s="806"/>
      <c r="CL30" s="806"/>
      <c r="CM30" s="806"/>
      <c r="CN30" s="806"/>
      <c r="CO30" s="806"/>
      <c r="CP30" s="806"/>
      <c r="CQ30" s="806"/>
      <c r="CR30" s="806"/>
      <c r="CS30" s="806"/>
      <c r="CT30" s="806"/>
      <c r="CU30" s="806"/>
      <c r="CV30" s="806"/>
      <c r="CW30" s="806"/>
      <c r="CX30" s="806"/>
      <c r="CY30" s="806"/>
      <c r="CZ30" s="806"/>
      <c r="DA30" s="806"/>
      <c r="DB30" s="806"/>
      <c r="DC30" s="806"/>
      <c r="DD30" s="806"/>
      <c r="DE30" s="806"/>
      <c r="DF30" s="806"/>
      <c r="DG30" s="806"/>
      <c r="DH30" s="806"/>
      <c r="DI30" s="806"/>
      <c r="DJ30" s="806"/>
      <c r="DK30" s="806"/>
      <c r="DL30" s="806"/>
      <c r="DM30" s="806"/>
      <c r="DN30" s="806"/>
      <c r="DO30" s="806"/>
      <c r="DP30" s="806"/>
      <c r="DQ30" s="806"/>
      <c r="DR30" s="806"/>
      <c r="DS30" s="806"/>
      <c r="DT30" s="806"/>
      <c r="DU30" s="806"/>
      <c r="DV30" s="806"/>
      <c r="DW30" s="806"/>
      <c r="DX30" s="806"/>
      <c r="DY30" s="806"/>
      <c r="DZ30" s="806"/>
      <c r="EA30" s="806"/>
      <c r="EB30" s="806"/>
      <c r="EC30" s="806"/>
      <c r="ED30" s="806"/>
      <c r="EE30" s="806"/>
      <c r="EF30" s="806"/>
      <c r="EG30" s="806"/>
      <c r="EH30" s="806"/>
      <c r="EI30" s="806"/>
      <c r="EJ30" s="806"/>
      <c r="EK30" s="806"/>
      <c r="EL30" s="806"/>
      <c r="EM30" s="806"/>
      <c r="EN30" s="806"/>
      <c r="EO30" s="806"/>
      <c r="EP30" s="806"/>
      <c r="EQ30" s="806"/>
      <c r="ER30" s="806"/>
      <c r="ES30" s="806"/>
      <c r="ET30" s="806"/>
      <c r="EU30" s="806"/>
      <c r="EV30" s="806"/>
      <c r="EW30" s="806"/>
      <c r="EX30" s="806"/>
      <c r="EY30" s="806"/>
      <c r="EZ30" s="806"/>
      <c r="FA30" s="806"/>
      <c r="FB30" s="806"/>
      <c r="FC30" s="806"/>
      <c r="FD30" s="806"/>
      <c r="FE30" s="806"/>
      <c r="FF30" s="806"/>
      <c r="FG30" s="806"/>
      <c r="FH30" s="806"/>
      <c r="FI30" s="806"/>
      <c r="FJ30" s="806"/>
      <c r="FK30" s="806"/>
      <c r="FL30" s="806"/>
      <c r="FM30" s="806"/>
      <c r="FN30" s="806"/>
      <c r="FO30" s="806"/>
      <c r="FP30" s="806"/>
      <c r="FQ30" s="806"/>
      <c r="FR30" s="806"/>
      <c r="FS30" s="806"/>
      <c r="FT30" s="806"/>
      <c r="FU30" s="806"/>
      <c r="FV30" s="806"/>
      <c r="FW30" s="806"/>
      <c r="FX30" s="806"/>
      <c r="FY30" s="806"/>
      <c r="FZ30" s="806"/>
      <c r="GA30" s="806"/>
      <c r="GB30" s="806"/>
      <c r="GC30" s="806"/>
      <c r="GD30" s="806"/>
      <c r="GE30" s="806"/>
      <c r="GF30" s="806"/>
      <c r="GG30" s="806"/>
      <c r="GH30" s="806"/>
      <c r="GI30" s="806"/>
      <c r="GJ30" s="806"/>
      <c r="GK30" s="806"/>
      <c r="GL30" s="806"/>
      <c r="GM30" s="806"/>
      <c r="GN30" s="806"/>
      <c r="GO30" s="806"/>
      <c r="GP30" s="806"/>
      <c r="GQ30" s="806"/>
      <c r="GR30" s="806"/>
      <c r="GS30" s="806"/>
      <c r="GT30" s="806"/>
      <c r="GU30" s="806"/>
      <c r="GV30" s="806"/>
      <c r="GW30" s="806"/>
      <c r="GX30" s="806"/>
      <c r="GY30" s="806"/>
      <c r="GZ30" s="806"/>
      <c r="HA30" s="806"/>
      <c r="HB30" s="806"/>
      <c r="HC30" s="806"/>
      <c r="HD30" s="806"/>
      <c r="HE30" s="806"/>
      <c r="HF30" s="806"/>
      <c r="HG30" s="806"/>
      <c r="HH30" s="806"/>
      <c r="HI30" s="806"/>
      <c r="HJ30" s="806"/>
      <c r="HK30" s="806"/>
      <c r="HL30" s="806"/>
      <c r="HM30" s="806"/>
      <c r="HN30" s="806"/>
      <c r="HO30" s="806"/>
      <c r="HP30" s="806"/>
      <c r="HQ30" s="806"/>
      <c r="HR30" s="806"/>
      <c r="HS30" s="806"/>
      <c r="HT30" s="806"/>
      <c r="HU30" s="806"/>
      <c r="HV30" s="806"/>
      <c r="HW30" s="806"/>
      <c r="HX30" s="806"/>
      <c r="HY30" s="806"/>
      <c r="HZ30" s="806"/>
      <c r="IA30" s="806"/>
      <c r="IB30" s="806"/>
      <c r="IC30" s="806"/>
      <c r="ID30" s="806"/>
      <c r="IE30" s="806"/>
      <c r="IF30" s="806"/>
      <c r="IG30" s="806"/>
      <c r="IH30" s="806"/>
      <c r="II30" s="806"/>
      <c r="IJ30" s="806"/>
      <c r="IK30" s="806"/>
      <c r="IL30" s="806"/>
      <c r="IM30" s="806"/>
      <c r="IN30" s="806"/>
      <c r="IO30" s="806"/>
      <c r="IP30" s="806"/>
      <c r="IQ30" s="806"/>
      <c r="IR30" s="806"/>
      <c r="IS30" s="806"/>
      <c r="IT30" s="806"/>
      <c r="IU30" s="806"/>
      <c r="IV30" s="806"/>
    </row>
    <row r="31" spans="1:256" ht="16.5" customHeight="1">
      <c r="A31" s="806" t="s">
        <v>384</v>
      </c>
      <c r="B31" s="806"/>
      <c r="C31" s="806" t="s">
        <v>15</v>
      </c>
      <c r="D31" s="2802">
        <v>15.058</v>
      </c>
      <c r="E31" s="2799"/>
      <c r="F31" s="2802">
        <v>98.207000000000008</v>
      </c>
      <c r="G31" s="2799"/>
      <c r="H31" s="2802">
        <v>97.897000000000006</v>
      </c>
      <c r="I31" s="2799"/>
      <c r="J31" s="2802">
        <v>0</v>
      </c>
      <c r="K31" s="2800"/>
      <c r="L31" s="2803">
        <f>ROUND(SUM(D31)+SUM(F31)-SUM(H31)+SUM(J31),3)</f>
        <v>15.368</v>
      </c>
      <c r="M31" s="813"/>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6"/>
      <c r="AY31" s="806"/>
      <c r="AZ31" s="806"/>
      <c r="BA31" s="806"/>
      <c r="BB31" s="806"/>
      <c r="BC31" s="806"/>
      <c r="BD31" s="806"/>
      <c r="BE31" s="806"/>
      <c r="BF31" s="806"/>
      <c r="BG31" s="806"/>
      <c r="BH31" s="806"/>
      <c r="BI31" s="806"/>
      <c r="BJ31" s="806"/>
      <c r="BK31" s="806"/>
      <c r="BL31" s="806"/>
      <c r="BM31" s="806"/>
      <c r="BN31" s="806"/>
      <c r="BO31" s="806"/>
      <c r="BP31" s="806"/>
      <c r="BQ31" s="806"/>
      <c r="BR31" s="806"/>
      <c r="BS31" s="806"/>
      <c r="BT31" s="806"/>
      <c r="BU31" s="806"/>
      <c r="BV31" s="806"/>
      <c r="BW31" s="806"/>
      <c r="BX31" s="806"/>
      <c r="BY31" s="806"/>
      <c r="BZ31" s="806"/>
      <c r="CA31" s="806"/>
      <c r="CB31" s="806"/>
      <c r="CC31" s="806"/>
      <c r="CD31" s="806"/>
      <c r="CE31" s="806"/>
      <c r="CF31" s="806"/>
      <c r="CG31" s="806"/>
      <c r="CH31" s="806"/>
      <c r="CI31" s="806"/>
      <c r="CJ31" s="806"/>
      <c r="CK31" s="806"/>
      <c r="CL31" s="806"/>
      <c r="CM31" s="806"/>
      <c r="CN31" s="806"/>
      <c r="CO31" s="806"/>
      <c r="CP31" s="806"/>
      <c r="CQ31" s="806"/>
      <c r="CR31" s="806"/>
      <c r="CS31" s="806"/>
      <c r="CT31" s="806"/>
      <c r="CU31" s="806"/>
      <c r="CV31" s="806"/>
      <c r="CW31" s="806"/>
      <c r="CX31" s="806"/>
      <c r="CY31" s="806"/>
      <c r="CZ31" s="806"/>
      <c r="DA31" s="806"/>
      <c r="DB31" s="806"/>
      <c r="DC31" s="806"/>
      <c r="DD31" s="806"/>
      <c r="DE31" s="806"/>
      <c r="DF31" s="806"/>
      <c r="DG31" s="806"/>
      <c r="DH31" s="806"/>
      <c r="DI31" s="806"/>
      <c r="DJ31" s="806"/>
      <c r="DK31" s="806"/>
      <c r="DL31" s="806"/>
      <c r="DM31" s="806"/>
      <c r="DN31" s="806"/>
      <c r="DO31" s="806"/>
      <c r="DP31" s="806"/>
      <c r="DQ31" s="806"/>
      <c r="DR31" s="806"/>
      <c r="DS31" s="806"/>
      <c r="DT31" s="806"/>
      <c r="DU31" s="806"/>
      <c r="DV31" s="806"/>
      <c r="DW31" s="806"/>
      <c r="DX31" s="806"/>
      <c r="DY31" s="806"/>
      <c r="DZ31" s="806"/>
      <c r="EA31" s="806"/>
      <c r="EB31" s="806"/>
      <c r="EC31" s="806"/>
      <c r="ED31" s="806"/>
      <c r="EE31" s="806"/>
      <c r="EF31" s="806"/>
      <c r="EG31" s="806"/>
      <c r="EH31" s="806"/>
      <c r="EI31" s="806"/>
      <c r="EJ31" s="806"/>
      <c r="EK31" s="806"/>
      <c r="EL31" s="806"/>
      <c r="EM31" s="806"/>
      <c r="EN31" s="806"/>
      <c r="EO31" s="806"/>
      <c r="EP31" s="806"/>
      <c r="EQ31" s="806"/>
      <c r="ER31" s="806"/>
      <c r="ES31" s="806"/>
      <c r="ET31" s="806"/>
      <c r="EU31" s="806"/>
      <c r="EV31" s="806"/>
      <c r="EW31" s="806"/>
      <c r="EX31" s="806"/>
      <c r="EY31" s="806"/>
      <c r="EZ31" s="806"/>
      <c r="FA31" s="806"/>
      <c r="FB31" s="806"/>
      <c r="FC31" s="806"/>
      <c r="FD31" s="806"/>
      <c r="FE31" s="806"/>
      <c r="FF31" s="806"/>
      <c r="FG31" s="806"/>
      <c r="FH31" s="806"/>
      <c r="FI31" s="806"/>
      <c r="FJ31" s="806"/>
      <c r="FK31" s="806"/>
      <c r="FL31" s="806"/>
      <c r="FM31" s="806"/>
      <c r="FN31" s="806"/>
      <c r="FO31" s="806"/>
      <c r="FP31" s="806"/>
      <c r="FQ31" s="806"/>
      <c r="FR31" s="806"/>
      <c r="FS31" s="806"/>
      <c r="FT31" s="806"/>
      <c r="FU31" s="806"/>
      <c r="FV31" s="806"/>
      <c r="FW31" s="806"/>
      <c r="FX31" s="806"/>
      <c r="FY31" s="806"/>
      <c r="FZ31" s="806"/>
      <c r="GA31" s="806"/>
      <c r="GB31" s="806"/>
      <c r="GC31" s="806"/>
      <c r="GD31" s="806"/>
      <c r="GE31" s="806"/>
      <c r="GF31" s="806"/>
      <c r="GG31" s="806"/>
      <c r="GH31" s="806"/>
      <c r="GI31" s="806"/>
      <c r="GJ31" s="806"/>
      <c r="GK31" s="806"/>
      <c r="GL31" s="806"/>
      <c r="GM31" s="806"/>
      <c r="GN31" s="806"/>
      <c r="GO31" s="806"/>
      <c r="GP31" s="806"/>
      <c r="GQ31" s="806"/>
      <c r="GR31" s="806"/>
      <c r="GS31" s="806"/>
      <c r="GT31" s="806"/>
      <c r="GU31" s="806"/>
      <c r="GV31" s="806"/>
      <c r="GW31" s="806"/>
      <c r="GX31" s="806"/>
      <c r="GY31" s="806"/>
      <c r="GZ31" s="806"/>
      <c r="HA31" s="806"/>
      <c r="HB31" s="806"/>
      <c r="HC31" s="806"/>
      <c r="HD31" s="806"/>
      <c r="HE31" s="806"/>
      <c r="HF31" s="806"/>
      <c r="HG31" s="806"/>
      <c r="HH31" s="806"/>
      <c r="HI31" s="806"/>
      <c r="HJ31" s="806"/>
      <c r="HK31" s="806"/>
      <c r="HL31" s="806"/>
      <c r="HM31" s="806"/>
      <c r="HN31" s="806"/>
      <c r="HO31" s="806"/>
      <c r="HP31" s="806"/>
      <c r="HQ31" s="806"/>
      <c r="HR31" s="806"/>
      <c r="HS31" s="806"/>
      <c r="HT31" s="806"/>
      <c r="HU31" s="806"/>
      <c r="HV31" s="806"/>
      <c r="HW31" s="806"/>
      <c r="HX31" s="806"/>
      <c r="HY31" s="806"/>
      <c r="HZ31" s="806"/>
      <c r="IA31" s="806"/>
      <c r="IB31" s="806"/>
      <c r="IC31" s="806"/>
      <c r="ID31" s="806"/>
      <c r="IE31" s="806"/>
      <c r="IF31" s="806"/>
      <c r="IG31" s="806"/>
      <c r="IH31" s="806"/>
      <c r="II31" s="806"/>
      <c r="IJ31" s="806"/>
      <c r="IK31" s="806"/>
      <c r="IL31" s="806"/>
      <c r="IM31" s="806"/>
      <c r="IN31" s="806"/>
      <c r="IO31" s="806"/>
      <c r="IP31" s="806"/>
      <c r="IQ31" s="806"/>
      <c r="IR31" s="806"/>
      <c r="IS31" s="806"/>
      <c r="IT31" s="806"/>
      <c r="IU31" s="806"/>
      <c r="IV31" s="806"/>
    </row>
    <row r="32" spans="1:256" ht="16.5" customHeight="1">
      <c r="A32" s="806" t="s">
        <v>1116</v>
      </c>
      <c r="B32" s="806"/>
      <c r="C32" s="806"/>
      <c r="D32" s="2802">
        <v>1.0209999999999999</v>
      </c>
      <c r="E32" s="2799"/>
      <c r="F32" s="2802">
        <v>350.05900000000003</v>
      </c>
      <c r="G32" s="2799"/>
      <c r="H32" s="2802">
        <v>352.91800000000001</v>
      </c>
      <c r="I32" s="2799"/>
      <c r="J32" s="2802">
        <v>0</v>
      </c>
      <c r="K32" s="2800"/>
      <c r="L32" s="2803">
        <f t="shared" si="0"/>
        <v>-1.8380000000000001</v>
      </c>
      <c r="M32" s="813"/>
      <c r="N32" s="700"/>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6"/>
      <c r="BI32" s="806"/>
      <c r="BJ32" s="806"/>
      <c r="BK32" s="806"/>
      <c r="BL32" s="806"/>
      <c r="BM32" s="806"/>
      <c r="BN32" s="806"/>
      <c r="BO32" s="806"/>
      <c r="BP32" s="806"/>
      <c r="BQ32" s="806"/>
      <c r="BR32" s="806"/>
      <c r="BS32" s="806"/>
      <c r="BT32" s="806"/>
      <c r="BU32" s="806"/>
      <c r="BV32" s="806"/>
      <c r="BW32" s="806"/>
      <c r="BX32" s="806"/>
      <c r="BY32" s="806"/>
      <c r="BZ32" s="806"/>
      <c r="CA32" s="806"/>
      <c r="CB32" s="806"/>
      <c r="CC32" s="806"/>
      <c r="CD32" s="806"/>
      <c r="CE32" s="806"/>
      <c r="CF32" s="806"/>
      <c r="CG32" s="806"/>
      <c r="CH32" s="806"/>
      <c r="CI32" s="806"/>
      <c r="CJ32" s="806"/>
      <c r="CK32" s="806"/>
      <c r="CL32" s="806"/>
      <c r="CM32" s="806"/>
      <c r="CN32" s="806"/>
      <c r="CO32" s="806"/>
      <c r="CP32" s="806"/>
      <c r="CQ32" s="806"/>
      <c r="CR32" s="806"/>
      <c r="CS32" s="806"/>
      <c r="CT32" s="806"/>
      <c r="CU32" s="806"/>
      <c r="CV32" s="806"/>
      <c r="CW32" s="806"/>
      <c r="CX32" s="806"/>
      <c r="CY32" s="806"/>
      <c r="CZ32" s="806"/>
      <c r="DA32" s="806"/>
      <c r="DB32" s="806"/>
      <c r="DC32" s="806"/>
      <c r="DD32" s="806"/>
      <c r="DE32" s="806"/>
      <c r="DF32" s="806"/>
      <c r="DG32" s="806"/>
      <c r="DH32" s="806"/>
      <c r="DI32" s="806"/>
      <c r="DJ32" s="806"/>
      <c r="DK32" s="806"/>
      <c r="DL32" s="806"/>
      <c r="DM32" s="806"/>
      <c r="DN32" s="806"/>
      <c r="DO32" s="806"/>
      <c r="DP32" s="806"/>
      <c r="DQ32" s="806"/>
      <c r="DR32" s="806"/>
      <c r="DS32" s="806"/>
      <c r="DT32" s="806"/>
      <c r="DU32" s="806"/>
      <c r="DV32" s="806"/>
      <c r="DW32" s="806"/>
      <c r="DX32" s="806"/>
      <c r="DY32" s="806"/>
      <c r="DZ32" s="806"/>
      <c r="EA32" s="806"/>
      <c r="EB32" s="806"/>
      <c r="EC32" s="806"/>
      <c r="ED32" s="806"/>
      <c r="EE32" s="806"/>
      <c r="EF32" s="806"/>
      <c r="EG32" s="806"/>
      <c r="EH32" s="806"/>
      <c r="EI32" s="806"/>
      <c r="EJ32" s="806"/>
      <c r="EK32" s="806"/>
      <c r="EL32" s="806"/>
      <c r="EM32" s="806"/>
      <c r="EN32" s="806"/>
      <c r="EO32" s="806"/>
      <c r="EP32" s="806"/>
      <c r="EQ32" s="806"/>
      <c r="ER32" s="806"/>
      <c r="ES32" s="806"/>
      <c r="ET32" s="806"/>
      <c r="EU32" s="806"/>
      <c r="EV32" s="806"/>
      <c r="EW32" s="806"/>
      <c r="EX32" s="806"/>
      <c r="EY32" s="806"/>
      <c r="EZ32" s="806"/>
      <c r="FA32" s="806"/>
      <c r="FB32" s="806"/>
      <c r="FC32" s="806"/>
      <c r="FD32" s="806"/>
      <c r="FE32" s="806"/>
      <c r="FF32" s="806"/>
      <c r="FG32" s="806"/>
      <c r="FH32" s="806"/>
      <c r="FI32" s="806"/>
      <c r="FJ32" s="806"/>
      <c r="FK32" s="806"/>
      <c r="FL32" s="806"/>
      <c r="FM32" s="806"/>
      <c r="FN32" s="806"/>
      <c r="FO32" s="806"/>
      <c r="FP32" s="806"/>
      <c r="FQ32" s="806"/>
      <c r="FR32" s="806"/>
      <c r="FS32" s="806"/>
      <c r="FT32" s="806"/>
      <c r="FU32" s="806"/>
      <c r="FV32" s="806"/>
      <c r="FW32" s="806"/>
      <c r="FX32" s="806"/>
      <c r="FY32" s="806"/>
      <c r="FZ32" s="806"/>
      <c r="GA32" s="806"/>
      <c r="GB32" s="806"/>
      <c r="GC32" s="806"/>
      <c r="GD32" s="806"/>
      <c r="GE32" s="806"/>
      <c r="GF32" s="806"/>
      <c r="GG32" s="806"/>
      <c r="GH32" s="806"/>
      <c r="GI32" s="806"/>
      <c r="GJ32" s="806"/>
      <c r="GK32" s="806"/>
      <c r="GL32" s="806"/>
      <c r="GM32" s="806"/>
      <c r="GN32" s="806"/>
      <c r="GO32" s="806"/>
      <c r="GP32" s="806"/>
      <c r="GQ32" s="806"/>
      <c r="GR32" s="806"/>
      <c r="GS32" s="806"/>
      <c r="GT32" s="806"/>
      <c r="GU32" s="806"/>
      <c r="GV32" s="806"/>
      <c r="GW32" s="806"/>
      <c r="GX32" s="806"/>
      <c r="GY32" s="806"/>
      <c r="GZ32" s="806"/>
      <c r="HA32" s="806"/>
      <c r="HB32" s="806"/>
      <c r="HC32" s="806"/>
      <c r="HD32" s="806"/>
      <c r="HE32" s="806"/>
      <c r="HF32" s="806"/>
      <c r="HG32" s="806"/>
      <c r="HH32" s="806"/>
      <c r="HI32" s="806"/>
      <c r="HJ32" s="806"/>
      <c r="HK32" s="806"/>
      <c r="HL32" s="806"/>
      <c r="HM32" s="806"/>
      <c r="HN32" s="806"/>
      <c r="HO32" s="806"/>
      <c r="HP32" s="806"/>
      <c r="HQ32" s="806"/>
      <c r="HR32" s="806"/>
      <c r="HS32" s="806"/>
      <c r="HT32" s="806"/>
      <c r="HU32" s="806"/>
      <c r="HV32" s="806"/>
      <c r="HW32" s="806"/>
      <c r="HX32" s="806"/>
      <c r="HY32" s="806"/>
      <c r="HZ32" s="806"/>
      <c r="IA32" s="806"/>
      <c r="IB32" s="806"/>
      <c r="IC32" s="806"/>
      <c r="ID32" s="806"/>
      <c r="IE32" s="806"/>
      <c r="IF32" s="806"/>
      <c r="IG32" s="806"/>
      <c r="IH32" s="806"/>
      <c r="II32" s="806"/>
      <c r="IJ32" s="806"/>
      <c r="IK32" s="806"/>
      <c r="IL32" s="806"/>
      <c r="IM32" s="806"/>
      <c r="IN32" s="806"/>
      <c r="IO32" s="806"/>
      <c r="IP32" s="806"/>
      <c r="IQ32" s="806"/>
      <c r="IR32" s="806"/>
      <c r="IS32" s="806"/>
      <c r="IT32" s="806"/>
      <c r="IU32" s="806"/>
      <c r="IV32" s="806"/>
    </row>
    <row r="33" spans="1:256" ht="16.5" customHeight="1">
      <c r="A33" s="806" t="s">
        <v>385</v>
      </c>
      <c r="B33" s="806"/>
      <c r="C33" s="806" t="s">
        <v>15</v>
      </c>
      <c r="D33" s="2802">
        <v>17.106999999999999</v>
      </c>
      <c r="E33" s="2799"/>
      <c r="F33" s="2802">
        <v>9.9939999999999998</v>
      </c>
      <c r="G33" s="2799"/>
      <c r="H33" s="2802">
        <v>5.6760000000000002</v>
      </c>
      <c r="I33" s="2799"/>
      <c r="J33" s="2802">
        <v>0</v>
      </c>
      <c r="K33" s="2800"/>
      <c r="L33" s="2803">
        <f t="shared" si="0"/>
        <v>21.425000000000001</v>
      </c>
      <c r="M33" s="813"/>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c r="BB33" s="806"/>
      <c r="BC33" s="806"/>
      <c r="BD33" s="806"/>
      <c r="BE33" s="806"/>
      <c r="BF33" s="806"/>
      <c r="BG33" s="806"/>
      <c r="BH33" s="806"/>
      <c r="BI33" s="806"/>
      <c r="BJ33" s="806"/>
      <c r="BK33" s="806"/>
      <c r="BL33" s="806"/>
      <c r="BM33" s="806"/>
      <c r="BN33" s="806"/>
      <c r="BO33" s="806"/>
      <c r="BP33" s="806"/>
      <c r="BQ33" s="806"/>
      <c r="BR33" s="806"/>
      <c r="BS33" s="806"/>
      <c r="BT33" s="806"/>
      <c r="BU33" s="806"/>
      <c r="BV33" s="806"/>
      <c r="BW33" s="806"/>
      <c r="BX33" s="806"/>
      <c r="BY33" s="806"/>
      <c r="BZ33" s="806"/>
      <c r="CA33" s="806"/>
      <c r="CB33" s="806"/>
      <c r="CC33" s="806"/>
      <c r="CD33" s="806"/>
      <c r="CE33" s="806"/>
      <c r="CF33" s="806"/>
      <c r="CG33" s="806"/>
      <c r="CH33" s="806"/>
      <c r="CI33" s="806"/>
      <c r="CJ33" s="806"/>
      <c r="CK33" s="806"/>
      <c r="CL33" s="806"/>
      <c r="CM33" s="806"/>
      <c r="CN33" s="806"/>
      <c r="CO33" s="806"/>
      <c r="CP33" s="806"/>
      <c r="CQ33" s="806"/>
      <c r="CR33" s="806"/>
      <c r="CS33" s="806"/>
      <c r="CT33" s="806"/>
      <c r="CU33" s="806"/>
      <c r="CV33" s="806"/>
      <c r="CW33" s="806"/>
      <c r="CX33" s="806"/>
      <c r="CY33" s="806"/>
      <c r="CZ33" s="806"/>
      <c r="DA33" s="806"/>
      <c r="DB33" s="806"/>
      <c r="DC33" s="806"/>
      <c r="DD33" s="806"/>
      <c r="DE33" s="806"/>
      <c r="DF33" s="806"/>
      <c r="DG33" s="806"/>
      <c r="DH33" s="806"/>
      <c r="DI33" s="806"/>
      <c r="DJ33" s="806"/>
      <c r="DK33" s="806"/>
      <c r="DL33" s="806"/>
      <c r="DM33" s="806"/>
      <c r="DN33" s="806"/>
      <c r="DO33" s="806"/>
      <c r="DP33" s="806"/>
      <c r="DQ33" s="806"/>
      <c r="DR33" s="806"/>
      <c r="DS33" s="806"/>
      <c r="DT33" s="806"/>
      <c r="DU33" s="806"/>
      <c r="DV33" s="806"/>
      <c r="DW33" s="806"/>
      <c r="DX33" s="806"/>
      <c r="DY33" s="806"/>
      <c r="DZ33" s="806"/>
      <c r="EA33" s="806"/>
      <c r="EB33" s="806"/>
      <c r="EC33" s="806"/>
      <c r="ED33" s="806"/>
      <c r="EE33" s="806"/>
      <c r="EF33" s="806"/>
      <c r="EG33" s="806"/>
      <c r="EH33" s="806"/>
      <c r="EI33" s="806"/>
      <c r="EJ33" s="806"/>
      <c r="EK33" s="806"/>
      <c r="EL33" s="806"/>
      <c r="EM33" s="806"/>
      <c r="EN33" s="806"/>
      <c r="EO33" s="806"/>
      <c r="EP33" s="806"/>
      <c r="EQ33" s="806"/>
      <c r="ER33" s="806"/>
      <c r="ES33" s="806"/>
      <c r="ET33" s="806"/>
      <c r="EU33" s="806"/>
      <c r="EV33" s="806"/>
      <c r="EW33" s="806"/>
      <c r="EX33" s="806"/>
      <c r="EY33" s="806"/>
      <c r="EZ33" s="806"/>
      <c r="FA33" s="806"/>
      <c r="FB33" s="806"/>
      <c r="FC33" s="806"/>
      <c r="FD33" s="806"/>
      <c r="FE33" s="806"/>
      <c r="FF33" s="806"/>
      <c r="FG33" s="806"/>
      <c r="FH33" s="806"/>
      <c r="FI33" s="806"/>
      <c r="FJ33" s="806"/>
      <c r="FK33" s="806"/>
      <c r="FL33" s="806"/>
      <c r="FM33" s="806"/>
      <c r="FN33" s="806"/>
      <c r="FO33" s="806"/>
      <c r="FP33" s="806"/>
      <c r="FQ33" s="806"/>
      <c r="FR33" s="806"/>
      <c r="FS33" s="806"/>
      <c r="FT33" s="806"/>
      <c r="FU33" s="806"/>
      <c r="FV33" s="806"/>
      <c r="FW33" s="806"/>
      <c r="FX33" s="806"/>
      <c r="FY33" s="806"/>
      <c r="FZ33" s="806"/>
      <c r="GA33" s="806"/>
      <c r="GB33" s="806"/>
      <c r="GC33" s="806"/>
      <c r="GD33" s="806"/>
      <c r="GE33" s="806"/>
      <c r="GF33" s="806"/>
      <c r="GG33" s="806"/>
      <c r="GH33" s="806"/>
      <c r="GI33" s="806"/>
      <c r="GJ33" s="806"/>
      <c r="GK33" s="806"/>
      <c r="GL33" s="806"/>
      <c r="GM33" s="806"/>
      <c r="GN33" s="806"/>
      <c r="GO33" s="806"/>
      <c r="GP33" s="806"/>
      <c r="GQ33" s="806"/>
      <c r="GR33" s="806"/>
      <c r="GS33" s="806"/>
      <c r="GT33" s="806"/>
      <c r="GU33" s="806"/>
      <c r="GV33" s="806"/>
      <c r="GW33" s="806"/>
      <c r="GX33" s="806"/>
      <c r="GY33" s="806"/>
      <c r="GZ33" s="806"/>
      <c r="HA33" s="806"/>
      <c r="HB33" s="806"/>
      <c r="HC33" s="806"/>
      <c r="HD33" s="806"/>
      <c r="HE33" s="806"/>
      <c r="HF33" s="806"/>
      <c r="HG33" s="806"/>
      <c r="HH33" s="806"/>
      <c r="HI33" s="806"/>
      <c r="HJ33" s="806"/>
      <c r="HK33" s="806"/>
      <c r="HL33" s="806"/>
      <c r="HM33" s="806"/>
      <c r="HN33" s="806"/>
      <c r="HO33" s="806"/>
      <c r="HP33" s="806"/>
      <c r="HQ33" s="806"/>
      <c r="HR33" s="806"/>
      <c r="HS33" s="806"/>
      <c r="HT33" s="806"/>
      <c r="HU33" s="806"/>
      <c r="HV33" s="806"/>
      <c r="HW33" s="806"/>
      <c r="HX33" s="806"/>
      <c r="HY33" s="806"/>
      <c r="HZ33" s="806"/>
      <c r="IA33" s="806"/>
      <c r="IB33" s="806"/>
      <c r="IC33" s="806"/>
      <c r="ID33" s="806"/>
      <c r="IE33" s="806"/>
      <c r="IF33" s="806"/>
      <c r="IG33" s="806"/>
      <c r="IH33" s="806"/>
      <c r="II33" s="806"/>
      <c r="IJ33" s="806"/>
      <c r="IK33" s="806"/>
      <c r="IL33" s="806"/>
      <c r="IM33" s="806"/>
      <c r="IN33" s="806"/>
      <c r="IO33" s="806"/>
      <c r="IP33" s="806"/>
      <c r="IQ33" s="806"/>
      <c r="IR33" s="806"/>
      <c r="IS33" s="806"/>
      <c r="IT33" s="806"/>
      <c r="IU33" s="806"/>
      <c r="IV33" s="806"/>
    </row>
    <row r="34" spans="1:256" ht="15.75" customHeight="1">
      <c r="A34" s="806" t="s">
        <v>386</v>
      </c>
      <c r="B34" s="806"/>
      <c r="C34" s="806"/>
      <c r="D34" s="2802">
        <v>0.40600000000000003</v>
      </c>
      <c r="E34" s="2799"/>
      <c r="F34" s="2802">
        <v>0.83899999999999997</v>
      </c>
      <c r="G34" s="2799"/>
      <c r="H34" s="2802">
        <v>0.79400000000000004</v>
      </c>
      <c r="I34" s="2799"/>
      <c r="J34" s="2802">
        <v>0</v>
      </c>
      <c r="K34" s="2800"/>
      <c r="L34" s="2803">
        <f t="shared" si="0"/>
        <v>0.45100000000000001</v>
      </c>
      <c r="M34" s="813"/>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6"/>
      <c r="BI34" s="806"/>
      <c r="BJ34" s="806"/>
      <c r="BK34" s="806"/>
      <c r="BL34" s="806"/>
      <c r="BM34" s="806"/>
      <c r="BN34" s="806"/>
      <c r="BO34" s="806"/>
      <c r="BP34" s="806"/>
      <c r="BQ34" s="806"/>
      <c r="BR34" s="806"/>
      <c r="BS34" s="806"/>
      <c r="BT34" s="806"/>
      <c r="BU34" s="806"/>
      <c r="BV34" s="806"/>
      <c r="BW34" s="806"/>
      <c r="BX34" s="806"/>
      <c r="BY34" s="806"/>
      <c r="BZ34" s="806"/>
      <c r="CA34" s="806"/>
      <c r="CB34" s="806"/>
      <c r="CC34" s="806"/>
      <c r="CD34" s="806"/>
      <c r="CE34" s="806"/>
      <c r="CF34" s="806"/>
      <c r="CG34" s="806"/>
      <c r="CH34" s="806"/>
      <c r="CI34" s="806"/>
      <c r="CJ34" s="806"/>
      <c r="CK34" s="806"/>
      <c r="CL34" s="806"/>
      <c r="CM34" s="806"/>
      <c r="CN34" s="806"/>
      <c r="CO34" s="806"/>
      <c r="CP34" s="806"/>
      <c r="CQ34" s="806"/>
      <c r="CR34" s="806"/>
      <c r="CS34" s="806"/>
      <c r="CT34" s="806"/>
      <c r="CU34" s="806"/>
      <c r="CV34" s="806"/>
      <c r="CW34" s="806"/>
      <c r="CX34" s="806"/>
      <c r="CY34" s="806"/>
      <c r="CZ34" s="806"/>
      <c r="DA34" s="806"/>
      <c r="DB34" s="806"/>
      <c r="DC34" s="806"/>
      <c r="DD34" s="806"/>
      <c r="DE34" s="806"/>
      <c r="DF34" s="806"/>
      <c r="DG34" s="806"/>
      <c r="DH34" s="806"/>
      <c r="DI34" s="806"/>
      <c r="DJ34" s="806"/>
      <c r="DK34" s="806"/>
      <c r="DL34" s="806"/>
      <c r="DM34" s="806"/>
      <c r="DN34" s="806"/>
      <c r="DO34" s="806"/>
      <c r="DP34" s="806"/>
      <c r="DQ34" s="806"/>
      <c r="DR34" s="806"/>
      <c r="DS34" s="806"/>
      <c r="DT34" s="806"/>
      <c r="DU34" s="806"/>
      <c r="DV34" s="806"/>
      <c r="DW34" s="806"/>
      <c r="DX34" s="806"/>
      <c r="DY34" s="806"/>
      <c r="DZ34" s="806"/>
      <c r="EA34" s="806"/>
      <c r="EB34" s="806"/>
      <c r="EC34" s="806"/>
      <c r="ED34" s="806"/>
      <c r="EE34" s="806"/>
      <c r="EF34" s="806"/>
      <c r="EG34" s="806"/>
      <c r="EH34" s="806"/>
      <c r="EI34" s="806"/>
      <c r="EJ34" s="806"/>
      <c r="EK34" s="806"/>
      <c r="EL34" s="806"/>
      <c r="EM34" s="806"/>
      <c r="EN34" s="806"/>
      <c r="EO34" s="806"/>
      <c r="EP34" s="806"/>
      <c r="EQ34" s="806"/>
      <c r="ER34" s="806"/>
      <c r="ES34" s="806"/>
      <c r="ET34" s="806"/>
      <c r="EU34" s="806"/>
      <c r="EV34" s="806"/>
      <c r="EW34" s="806"/>
      <c r="EX34" s="806"/>
      <c r="EY34" s="806"/>
      <c r="EZ34" s="806"/>
      <c r="FA34" s="806"/>
      <c r="FB34" s="806"/>
      <c r="FC34" s="806"/>
      <c r="FD34" s="806"/>
      <c r="FE34" s="806"/>
      <c r="FF34" s="806"/>
      <c r="FG34" s="806"/>
      <c r="FH34" s="806"/>
      <c r="FI34" s="806"/>
      <c r="FJ34" s="806"/>
      <c r="FK34" s="806"/>
      <c r="FL34" s="806"/>
      <c r="FM34" s="806"/>
      <c r="FN34" s="806"/>
      <c r="FO34" s="806"/>
      <c r="FP34" s="806"/>
      <c r="FQ34" s="806"/>
      <c r="FR34" s="806"/>
      <c r="FS34" s="806"/>
      <c r="FT34" s="806"/>
      <c r="FU34" s="806"/>
      <c r="FV34" s="806"/>
      <c r="FW34" s="806"/>
      <c r="FX34" s="806"/>
      <c r="FY34" s="806"/>
      <c r="FZ34" s="806"/>
      <c r="GA34" s="806"/>
      <c r="GB34" s="806"/>
      <c r="GC34" s="806"/>
      <c r="GD34" s="806"/>
      <c r="GE34" s="806"/>
      <c r="GF34" s="806"/>
      <c r="GG34" s="806"/>
      <c r="GH34" s="806"/>
      <c r="GI34" s="806"/>
      <c r="GJ34" s="806"/>
      <c r="GK34" s="806"/>
      <c r="GL34" s="806"/>
      <c r="GM34" s="806"/>
      <c r="GN34" s="806"/>
      <c r="GO34" s="806"/>
      <c r="GP34" s="806"/>
      <c r="GQ34" s="806"/>
      <c r="GR34" s="806"/>
      <c r="GS34" s="806"/>
      <c r="GT34" s="806"/>
      <c r="GU34" s="806"/>
      <c r="GV34" s="806"/>
      <c r="GW34" s="806"/>
      <c r="GX34" s="806"/>
      <c r="GY34" s="806"/>
      <c r="GZ34" s="806"/>
      <c r="HA34" s="806"/>
      <c r="HB34" s="806"/>
      <c r="HC34" s="806"/>
      <c r="HD34" s="806"/>
      <c r="HE34" s="806"/>
      <c r="HF34" s="806"/>
      <c r="HG34" s="806"/>
      <c r="HH34" s="806"/>
      <c r="HI34" s="806"/>
      <c r="HJ34" s="806"/>
      <c r="HK34" s="806"/>
      <c r="HL34" s="806"/>
      <c r="HM34" s="806"/>
      <c r="HN34" s="806"/>
      <c r="HO34" s="806"/>
      <c r="HP34" s="806"/>
      <c r="HQ34" s="806"/>
      <c r="HR34" s="806"/>
      <c r="HS34" s="806"/>
      <c r="HT34" s="806"/>
      <c r="HU34" s="806"/>
      <c r="HV34" s="806"/>
      <c r="HW34" s="806"/>
      <c r="HX34" s="806"/>
      <c r="HY34" s="806"/>
      <c r="HZ34" s="806"/>
      <c r="IA34" s="806"/>
      <c r="IB34" s="806"/>
      <c r="IC34" s="806"/>
      <c r="ID34" s="806"/>
      <c r="IE34" s="806"/>
      <c r="IF34" s="806"/>
      <c r="IG34" s="806"/>
      <c r="IH34" s="806"/>
      <c r="II34" s="806"/>
      <c r="IJ34" s="806"/>
      <c r="IK34" s="806"/>
      <c r="IL34" s="806"/>
      <c r="IM34" s="806"/>
      <c r="IN34" s="806"/>
      <c r="IO34" s="806"/>
      <c r="IP34" s="806"/>
      <c r="IQ34" s="806"/>
      <c r="IR34" s="806"/>
      <c r="IS34" s="806"/>
      <c r="IT34" s="806"/>
      <c r="IU34" s="806"/>
      <c r="IV34" s="806"/>
    </row>
    <row r="35" spans="1:256" ht="15.75" customHeight="1">
      <c r="A35" s="806" t="s">
        <v>387</v>
      </c>
      <c r="B35" s="806"/>
      <c r="C35" s="806"/>
      <c r="D35" s="2802">
        <v>579.58500000000004</v>
      </c>
      <c r="E35" s="2799"/>
      <c r="F35" s="2802">
        <v>81.350999999999999</v>
      </c>
      <c r="G35" s="2799"/>
      <c r="H35" s="2802">
        <v>102.155</v>
      </c>
      <c r="I35" s="2799"/>
      <c r="J35" s="2802">
        <v>0</v>
      </c>
      <c r="K35" s="2800"/>
      <c r="L35" s="2803">
        <f t="shared" si="0"/>
        <v>558.78099999999995</v>
      </c>
      <c r="M35" s="818"/>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6"/>
      <c r="AY35" s="806"/>
      <c r="AZ35" s="806"/>
      <c r="BA35" s="806"/>
      <c r="BB35" s="806"/>
      <c r="BC35" s="806"/>
      <c r="BD35" s="806"/>
      <c r="BE35" s="806"/>
      <c r="BF35" s="806"/>
      <c r="BG35" s="806"/>
      <c r="BH35" s="806"/>
      <c r="BI35" s="806"/>
      <c r="BJ35" s="806"/>
      <c r="BK35" s="806"/>
      <c r="BL35" s="806"/>
      <c r="BM35" s="806"/>
      <c r="BN35" s="806"/>
      <c r="BO35" s="806"/>
      <c r="BP35" s="806"/>
      <c r="BQ35" s="806"/>
      <c r="BR35" s="806"/>
      <c r="BS35" s="806"/>
      <c r="BT35" s="806"/>
      <c r="BU35" s="806"/>
      <c r="BV35" s="806"/>
      <c r="BW35" s="806"/>
      <c r="BX35" s="806"/>
      <c r="BY35" s="806"/>
      <c r="BZ35" s="806"/>
      <c r="CA35" s="806"/>
      <c r="CB35" s="806"/>
      <c r="CC35" s="806"/>
      <c r="CD35" s="806"/>
      <c r="CE35" s="806"/>
      <c r="CF35" s="806"/>
      <c r="CG35" s="806"/>
      <c r="CH35" s="806"/>
      <c r="CI35" s="806"/>
      <c r="CJ35" s="806"/>
      <c r="CK35" s="806"/>
      <c r="CL35" s="806"/>
      <c r="CM35" s="806"/>
      <c r="CN35" s="806"/>
      <c r="CO35" s="806"/>
      <c r="CP35" s="806"/>
      <c r="CQ35" s="806"/>
      <c r="CR35" s="806"/>
      <c r="CS35" s="806"/>
      <c r="CT35" s="806"/>
      <c r="CU35" s="806"/>
      <c r="CV35" s="806"/>
      <c r="CW35" s="806"/>
      <c r="CX35" s="806"/>
      <c r="CY35" s="806"/>
      <c r="CZ35" s="806"/>
      <c r="DA35" s="806"/>
      <c r="DB35" s="806"/>
      <c r="DC35" s="806"/>
      <c r="DD35" s="806"/>
      <c r="DE35" s="806"/>
      <c r="DF35" s="806"/>
      <c r="DG35" s="806"/>
      <c r="DH35" s="806"/>
      <c r="DI35" s="806"/>
      <c r="DJ35" s="806"/>
      <c r="DK35" s="806"/>
      <c r="DL35" s="806"/>
      <c r="DM35" s="806"/>
      <c r="DN35" s="806"/>
      <c r="DO35" s="806"/>
      <c r="DP35" s="806"/>
      <c r="DQ35" s="806"/>
      <c r="DR35" s="806"/>
      <c r="DS35" s="806"/>
      <c r="DT35" s="806"/>
      <c r="DU35" s="806"/>
      <c r="DV35" s="806"/>
      <c r="DW35" s="806"/>
      <c r="DX35" s="806"/>
      <c r="DY35" s="806"/>
      <c r="DZ35" s="806"/>
      <c r="EA35" s="806"/>
      <c r="EB35" s="806"/>
      <c r="EC35" s="806"/>
      <c r="ED35" s="806"/>
      <c r="EE35" s="806"/>
      <c r="EF35" s="806"/>
      <c r="EG35" s="806"/>
      <c r="EH35" s="806"/>
      <c r="EI35" s="806"/>
      <c r="EJ35" s="806"/>
      <c r="EK35" s="806"/>
      <c r="EL35" s="806"/>
      <c r="EM35" s="806"/>
      <c r="EN35" s="806"/>
      <c r="EO35" s="806"/>
      <c r="EP35" s="806"/>
      <c r="EQ35" s="806"/>
      <c r="ER35" s="806"/>
      <c r="ES35" s="806"/>
      <c r="ET35" s="806"/>
      <c r="EU35" s="806"/>
      <c r="EV35" s="806"/>
      <c r="EW35" s="806"/>
      <c r="EX35" s="806"/>
      <c r="EY35" s="806"/>
      <c r="EZ35" s="806"/>
      <c r="FA35" s="806"/>
      <c r="FB35" s="806"/>
      <c r="FC35" s="806"/>
      <c r="FD35" s="806"/>
      <c r="FE35" s="806"/>
      <c r="FF35" s="806"/>
      <c r="FG35" s="806"/>
      <c r="FH35" s="806"/>
      <c r="FI35" s="806"/>
      <c r="FJ35" s="806"/>
      <c r="FK35" s="806"/>
      <c r="FL35" s="806"/>
      <c r="FM35" s="806"/>
      <c r="FN35" s="806"/>
      <c r="FO35" s="806"/>
      <c r="FP35" s="806"/>
      <c r="FQ35" s="806"/>
      <c r="FR35" s="806"/>
      <c r="FS35" s="806"/>
      <c r="FT35" s="806"/>
      <c r="FU35" s="806"/>
      <c r="FV35" s="806"/>
      <c r="FW35" s="806"/>
      <c r="FX35" s="806"/>
      <c r="FY35" s="806"/>
      <c r="FZ35" s="806"/>
      <c r="GA35" s="806"/>
      <c r="GB35" s="806"/>
      <c r="GC35" s="806"/>
      <c r="GD35" s="806"/>
      <c r="GE35" s="806"/>
      <c r="GF35" s="806"/>
      <c r="GG35" s="806"/>
      <c r="GH35" s="806"/>
      <c r="GI35" s="806"/>
      <c r="GJ35" s="806"/>
      <c r="GK35" s="806"/>
      <c r="GL35" s="806"/>
      <c r="GM35" s="806"/>
      <c r="GN35" s="806"/>
      <c r="GO35" s="806"/>
      <c r="GP35" s="806"/>
      <c r="GQ35" s="806"/>
      <c r="GR35" s="806"/>
      <c r="GS35" s="806"/>
      <c r="GT35" s="806"/>
      <c r="GU35" s="806"/>
      <c r="GV35" s="806"/>
      <c r="GW35" s="806"/>
      <c r="GX35" s="806"/>
      <c r="GY35" s="806"/>
      <c r="GZ35" s="806"/>
      <c r="HA35" s="806"/>
      <c r="HB35" s="806"/>
      <c r="HC35" s="806"/>
      <c r="HD35" s="806"/>
      <c r="HE35" s="806"/>
      <c r="HF35" s="806"/>
      <c r="HG35" s="806"/>
      <c r="HH35" s="806"/>
      <c r="HI35" s="806"/>
      <c r="HJ35" s="806"/>
      <c r="HK35" s="806"/>
      <c r="HL35" s="806"/>
      <c r="HM35" s="806"/>
      <c r="HN35" s="806"/>
      <c r="HO35" s="806"/>
      <c r="HP35" s="806"/>
      <c r="HQ35" s="806"/>
      <c r="HR35" s="806"/>
      <c r="HS35" s="806"/>
      <c r="HT35" s="806"/>
      <c r="HU35" s="806"/>
      <c r="HV35" s="806"/>
      <c r="HW35" s="806"/>
      <c r="HX35" s="806"/>
      <c r="HY35" s="806"/>
      <c r="HZ35" s="806"/>
      <c r="IA35" s="806"/>
      <c r="IB35" s="806"/>
      <c r="IC35" s="806"/>
      <c r="ID35" s="806"/>
      <c r="IE35" s="806"/>
      <c r="IF35" s="806"/>
      <c r="IG35" s="806"/>
      <c r="IH35" s="806"/>
      <c r="II35" s="806"/>
      <c r="IJ35" s="806"/>
      <c r="IK35" s="806"/>
      <c r="IL35" s="806"/>
      <c r="IM35" s="806"/>
      <c r="IN35" s="806"/>
      <c r="IO35" s="806"/>
      <c r="IP35" s="806"/>
      <c r="IQ35" s="806"/>
      <c r="IR35" s="806"/>
      <c r="IS35" s="806"/>
      <c r="IT35" s="806"/>
      <c r="IU35" s="806"/>
      <c r="IV35" s="806"/>
    </row>
    <row r="36" spans="1:256" ht="16.5" customHeight="1">
      <c r="A36" s="806" t="s">
        <v>388</v>
      </c>
      <c r="B36" s="806"/>
      <c r="C36" s="806"/>
      <c r="D36" s="2802">
        <v>0.13800000000000001</v>
      </c>
      <c r="E36" s="2799"/>
      <c r="F36" s="2802">
        <v>0</v>
      </c>
      <c r="G36" s="2799"/>
      <c r="H36" s="2802">
        <v>0</v>
      </c>
      <c r="I36" s="2799"/>
      <c r="J36" s="2802">
        <v>0</v>
      </c>
      <c r="K36" s="2800"/>
      <c r="L36" s="2803">
        <f t="shared" si="0"/>
        <v>0.13800000000000001</v>
      </c>
      <c r="M36" s="813"/>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6"/>
      <c r="AY36" s="806"/>
      <c r="AZ36" s="806"/>
      <c r="BA36" s="806"/>
      <c r="BB36" s="806"/>
      <c r="BC36" s="806"/>
      <c r="BD36" s="806"/>
      <c r="BE36" s="806"/>
      <c r="BF36" s="806"/>
      <c r="BG36" s="806"/>
      <c r="BH36" s="806"/>
      <c r="BI36" s="806"/>
      <c r="BJ36" s="806"/>
      <c r="BK36" s="806"/>
      <c r="BL36" s="806"/>
      <c r="BM36" s="806"/>
      <c r="BN36" s="806"/>
      <c r="BO36" s="806"/>
      <c r="BP36" s="806"/>
      <c r="BQ36" s="806"/>
      <c r="BR36" s="806"/>
      <c r="BS36" s="806"/>
      <c r="BT36" s="806"/>
      <c r="BU36" s="806"/>
      <c r="BV36" s="806"/>
      <c r="BW36" s="806"/>
      <c r="BX36" s="806"/>
      <c r="BY36" s="806"/>
      <c r="BZ36" s="806"/>
      <c r="CA36" s="806"/>
      <c r="CB36" s="806"/>
      <c r="CC36" s="806"/>
      <c r="CD36" s="806"/>
      <c r="CE36" s="806"/>
      <c r="CF36" s="806"/>
      <c r="CG36" s="806"/>
      <c r="CH36" s="806"/>
      <c r="CI36" s="806"/>
      <c r="CJ36" s="806"/>
      <c r="CK36" s="806"/>
      <c r="CL36" s="806"/>
      <c r="CM36" s="806"/>
      <c r="CN36" s="806"/>
      <c r="CO36" s="806"/>
      <c r="CP36" s="806"/>
      <c r="CQ36" s="806"/>
      <c r="CR36" s="806"/>
      <c r="CS36" s="806"/>
      <c r="CT36" s="806"/>
      <c r="CU36" s="806"/>
      <c r="CV36" s="806"/>
      <c r="CW36" s="806"/>
      <c r="CX36" s="806"/>
      <c r="CY36" s="806"/>
      <c r="CZ36" s="806"/>
      <c r="DA36" s="806"/>
      <c r="DB36" s="806"/>
      <c r="DC36" s="806"/>
      <c r="DD36" s="806"/>
      <c r="DE36" s="806"/>
      <c r="DF36" s="806"/>
      <c r="DG36" s="806"/>
      <c r="DH36" s="806"/>
      <c r="DI36" s="806"/>
      <c r="DJ36" s="806"/>
      <c r="DK36" s="806"/>
      <c r="DL36" s="806"/>
      <c r="DM36" s="806"/>
      <c r="DN36" s="806"/>
      <c r="DO36" s="806"/>
      <c r="DP36" s="806"/>
      <c r="DQ36" s="806"/>
      <c r="DR36" s="806"/>
      <c r="DS36" s="806"/>
      <c r="DT36" s="806"/>
      <c r="DU36" s="806"/>
      <c r="DV36" s="806"/>
      <c r="DW36" s="806"/>
      <c r="DX36" s="806"/>
      <c r="DY36" s="806"/>
      <c r="DZ36" s="806"/>
      <c r="EA36" s="806"/>
      <c r="EB36" s="806"/>
      <c r="EC36" s="806"/>
      <c r="ED36" s="806"/>
      <c r="EE36" s="806"/>
      <c r="EF36" s="806"/>
      <c r="EG36" s="806"/>
      <c r="EH36" s="806"/>
      <c r="EI36" s="806"/>
      <c r="EJ36" s="806"/>
      <c r="EK36" s="806"/>
      <c r="EL36" s="806"/>
      <c r="EM36" s="806"/>
      <c r="EN36" s="806"/>
      <c r="EO36" s="806"/>
      <c r="EP36" s="806"/>
      <c r="EQ36" s="806"/>
      <c r="ER36" s="806"/>
      <c r="ES36" s="806"/>
      <c r="ET36" s="806"/>
      <c r="EU36" s="806"/>
      <c r="EV36" s="806"/>
      <c r="EW36" s="806"/>
      <c r="EX36" s="806"/>
      <c r="EY36" s="806"/>
      <c r="EZ36" s="806"/>
      <c r="FA36" s="806"/>
      <c r="FB36" s="806"/>
      <c r="FC36" s="806"/>
      <c r="FD36" s="806"/>
      <c r="FE36" s="806"/>
      <c r="FF36" s="806"/>
      <c r="FG36" s="806"/>
      <c r="FH36" s="806"/>
      <c r="FI36" s="806"/>
      <c r="FJ36" s="806"/>
      <c r="FK36" s="806"/>
      <c r="FL36" s="806"/>
      <c r="FM36" s="806"/>
      <c r="FN36" s="806"/>
      <c r="FO36" s="806"/>
      <c r="FP36" s="806"/>
      <c r="FQ36" s="806"/>
      <c r="FR36" s="806"/>
      <c r="FS36" s="806"/>
      <c r="FT36" s="806"/>
      <c r="FU36" s="806"/>
      <c r="FV36" s="806"/>
      <c r="FW36" s="806"/>
      <c r="FX36" s="806"/>
      <c r="FY36" s="806"/>
      <c r="FZ36" s="806"/>
      <c r="GA36" s="806"/>
      <c r="GB36" s="806"/>
      <c r="GC36" s="806"/>
      <c r="GD36" s="806"/>
      <c r="GE36" s="806"/>
      <c r="GF36" s="806"/>
      <c r="GG36" s="806"/>
      <c r="GH36" s="806"/>
      <c r="GI36" s="806"/>
      <c r="GJ36" s="806"/>
      <c r="GK36" s="806"/>
      <c r="GL36" s="806"/>
      <c r="GM36" s="806"/>
      <c r="GN36" s="806"/>
      <c r="GO36" s="806"/>
      <c r="GP36" s="806"/>
      <c r="GQ36" s="806"/>
      <c r="GR36" s="806"/>
      <c r="GS36" s="806"/>
      <c r="GT36" s="806"/>
      <c r="GU36" s="806"/>
      <c r="GV36" s="806"/>
      <c r="GW36" s="806"/>
      <c r="GX36" s="806"/>
      <c r="GY36" s="806"/>
      <c r="GZ36" s="806"/>
      <c r="HA36" s="806"/>
      <c r="HB36" s="806"/>
      <c r="HC36" s="806"/>
      <c r="HD36" s="806"/>
      <c r="HE36" s="806"/>
      <c r="HF36" s="806"/>
      <c r="HG36" s="806"/>
      <c r="HH36" s="806"/>
      <c r="HI36" s="806"/>
      <c r="HJ36" s="806"/>
      <c r="HK36" s="806"/>
      <c r="HL36" s="806"/>
      <c r="HM36" s="806"/>
      <c r="HN36" s="806"/>
      <c r="HO36" s="806"/>
      <c r="HP36" s="806"/>
      <c r="HQ36" s="806"/>
      <c r="HR36" s="806"/>
      <c r="HS36" s="806"/>
      <c r="HT36" s="806"/>
      <c r="HU36" s="806"/>
      <c r="HV36" s="806"/>
      <c r="HW36" s="806"/>
      <c r="HX36" s="806"/>
      <c r="HY36" s="806"/>
      <c r="HZ36" s="806"/>
      <c r="IA36" s="806"/>
      <c r="IB36" s="806"/>
      <c r="IC36" s="806"/>
      <c r="ID36" s="806"/>
      <c r="IE36" s="806"/>
      <c r="IF36" s="806"/>
      <c r="IG36" s="806"/>
      <c r="IH36" s="806"/>
      <c r="II36" s="806"/>
      <c r="IJ36" s="806"/>
      <c r="IK36" s="806"/>
      <c r="IL36" s="806"/>
      <c r="IM36" s="806"/>
      <c r="IN36" s="806"/>
      <c r="IO36" s="806"/>
      <c r="IP36" s="806"/>
      <c r="IQ36" s="806"/>
      <c r="IR36" s="806"/>
      <c r="IS36" s="806"/>
      <c r="IT36" s="806"/>
      <c r="IU36" s="806"/>
      <c r="IV36" s="806"/>
    </row>
    <row r="37" spans="1:256" ht="16.5" customHeight="1">
      <c r="A37" s="806" t="s">
        <v>389</v>
      </c>
      <c r="B37" s="806"/>
      <c r="C37" s="806"/>
      <c r="D37" s="2802">
        <v>1266.2439999999999</v>
      </c>
      <c r="E37" s="2799"/>
      <c r="F37" s="2802">
        <v>96.582999999999998</v>
      </c>
      <c r="G37" s="2799"/>
      <c r="H37" s="2802">
        <v>160.40100000000001</v>
      </c>
      <c r="I37" s="2799"/>
      <c r="J37" s="2802">
        <v>0</v>
      </c>
      <c r="K37" s="2800"/>
      <c r="L37" s="2803">
        <f t="shared" si="0"/>
        <v>1202.4259999999999</v>
      </c>
      <c r="M37" s="813"/>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6"/>
      <c r="BA37" s="806"/>
      <c r="BB37" s="806"/>
      <c r="BC37" s="806"/>
      <c r="BD37" s="806"/>
      <c r="BE37" s="806"/>
      <c r="BF37" s="806"/>
      <c r="BG37" s="806"/>
      <c r="BH37" s="806"/>
      <c r="BI37" s="806"/>
      <c r="BJ37" s="806"/>
      <c r="BK37" s="806"/>
      <c r="BL37" s="806"/>
      <c r="BM37" s="806"/>
      <c r="BN37" s="806"/>
      <c r="BO37" s="806"/>
      <c r="BP37" s="806"/>
      <c r="BQ37" s="806"/>
      <c r="BR37" s="806"/>
      <c r="BS37" s="806"/>
      <c r="BT37" s="806"/>
      <c r="BU37" s="806"/>
      <c r="BV37" s="806"/>
      <c r="BW37" s="806"/>
      <c r="BX37" s="806"/>
      <c r="BY37" s="806"/>
      <c r="BZ37" s="806"/>
      <c r="CA37" s="806"/>
      <c r="CB37" s="806"/>
      <c r="CC37" s="806"/>
      <c r="CD37" s="806"/>
      <c r="CE37" s="806"/>
      <c r="CF37" s="806"/>
      <c r="CG37" s="806"/>
      <c r="CH37" s="806"/>
      <c r="CI37" s="806"/>
      <c r="CJ37" s="806"/>
      <c r="CK37" s="806"/>
      <c r="CL37" s="806"/>
      <c r="CM37" s="806"/>
      <c r="CN37" s="806"/>
      <c r="CO37" s="806"/>
      <c r="CP37" s="806"/>
      <c r="CQ37" s="806"/>
      <c r="CR37" s="806"/>
      <c r="CS37" s="806"/>
      <c r="CT37" s="806"/>
      <c r="CU37" s="806"/>
      <c r="CV37" s="806"/>
      <c r="CW37" s="806"/>
      <c r="CX37" s="806"/>
      <c r="CY37" s="806"/>
      <c r="CZ37" s="806"/>
      <c r="DA37" s="806"/>
      <c r="DB37" s="806"/>
      <c r="DC37" s="806"/>
      <c r="DD37" s="806"/>
      <c r="DE37" s="806"/>
      <c r="DF37" s="806"/>
      <c r="DG37" s="806"/>
      <c r="DH37" s="806"/>
      <c r="DI37" s="806"/>
      <c r="DJ37" s="806"/>
      <c r="DK37" s="806"/>
      <c r="DL37" s="806"/>
      <c r="DM37" s="806"/>
      <c r="DN37" s="806"/>
      <c r="DO37" s="806"/>
      <c r="DP37" s="806"/>
      <c r="DQ37" s="806"/>
      <c r="DR37" s="806"/>
      <c r="DS37" s="806"/>
      <c r="DT37" s="806"/>
      <c r="DU37" s="806"/>
      <c r="DV37" s="806"/>
      <c r="DW37" s="806"/>
      <c r="DX37" s="806"/>
      <c r="DY37" s="806"/>
      <c r="DZ37" s="806"/>
      <c r="EA37" s="806"/>
      <c r="EB37" s="806"/>
      <c r="EC37" s="806"/>
      <c r="ED37" s="806"/>
      <c r="EE37" s="806"/>
      <c r="EF37" s="806"/>
      <c r="EG37" s="806"/>
      <c r="EH37" s="806"/>
      <c r="EI37" s="806"/>
      <c r="EJ37" s="806"/>
      <c r="EK37" s="806"/>
      <c r="EL37" s="806"/>
      <c r="EM37" s="806"/>
      <c r="EN37" s="806"/>
      <c r="EO37" s="806"/>
      <c r="EP37" s="806"/>
      <c r="EQ37" s="806"/>
      <c r="ER37" s="806"/>
      <c r="ES37" s="806"/>
      <c r="ET37" s="806"/>
      <c r="EU37" s="806"/>
      <c r="EV37" s="806"/>
      <c r="EW37" s="806"/>
      <c r="EX37" s="806"/>
      <c r="EY37" s="806"/>
      <c r="EZ37" s="806"/>
      <c r="FA37" s="806"/>
      <c r="FB37" s="806"/>
      <c r="FC37" s="806"/>
      <c r="FD37" s="806"/>
      <c r="FE37" s="806"/>
      <c r="FF37" s="806"/>
      <c r="FG37" s="806"/>
      <c r="FH37" s="806"/>
      <c r="FI37" s="806"/>
      <c r="FJ37" s="806"/>
      <c r="FK37" s="806"/>
      <c r="FL37" s="806"/>
      <c r="FM37" s="806"/>
      <c r="FN37" s="806"/>
      <c r="FO37" s="806"/>
      <c r="FP37" s="806"/>
      <c r="FQ37" s="806"/>
      <c r="FR37" s="806"/>
      <c r="FS37" s="806"/>
      <c r="FT37" s="806"/>
      <c r="FU37" s="806"/>
      <c r="FV37" s="806"/>
      <c r="FW37" s="806"/>
      <c r="FX37" s="806"/>
      <c r="FY37" s="806"/>
      <c r="FZ37" s="806"/>
      <c r="GA37" s="806"/>
      <c r="GB37" s="806"/>
      <c r="GC37" s="806"/>
      <c r="GD37" s="806"/>
      <c r="GE37" s="806"/>
      <c r="GF37" s="806"/>
      <c r="GG37" s="806"/>
      <c r="GH37" s="806"/>
      <c r="GI37" s="806"/>
      <c r="GJ37" s="806"/>
      <c r="GK37" s="806"/>
      <c r="GL37" s="806"/>
      <c r="GM37" s="806"/>
      <c r="GN37" s="806"/>
      <c r="GO37" s="806"/>
      <c r="GP37" s="806"/>
      <c r="GQ37" s="806"/>
      <c r="GR37" s="806"/>
      <c r="GS37" s="806"/>
      <c r="GT37" s="806"/>
      <c r="GU37" s="806"/>
      <c r="GV37" s="806"/>
      <c r="GW37" s="806"/>
      <c r="GX37" s="806"/>
      <c r="GY37" s="806"/>
      <c r="GZ37" s="806"/>
      <c r="HA37" s="806"/>
      <c r="HB37" s="806"/>
      <c r="HC37" s="806"/>
      <c r="HD37" s="806"/>
      <c r="HE37" s="806"/>
      <c r="HF37" s="806"/>
      <c r="HG37" s="806"/>
      <c r="HH37" s="806"/>
      <c r="HI37" s="806"/>
      <c r="HJ37" s="806"/>
      <c r="HK37" s="806"/>
      <c r="HL37" s="806"/>
      <c r="HM37" s="806"/>
      <c r="HN37" s="806"/>
      <c r="HO37" s="806"/>
      <c r="HP37" s="806"/>
      <c r="HQ37" s="806"/>
      <c r="HR37" s="806"/>
      <c r="HS37" s="806"/>
      <c r="HT37" s="806"/>
      <c r="HU37" s="806"/>
      <c r="HV37" s="806"/>
      <c r="HW37" s="806"/>
      <c r="HX37" s="806"/>
      <c r="HY37" s="806"/>
      <c r="HZ37" s="806"/>
      <c r="IA37" s="806"/>
      <c r="IB37" s="806"/>
      <c r="IC37" s="806"/>
      <c r="ID37" s="806"/>
      <c r="IE37" s="806"/>
      <c r="IF37" s="806"/>
      <c r="IG37" s="806"/>
      <c r="IH37" s="806"/>
      <c r="II37" s="806"/>
      <c r="IJ37" s="806"/>
      <c r="IK37" s="806"/>
      <c r="IL37" s="806"/>
      <c r="IM37" s="806"/>
      <c r="IN37" s="806"/>
      <c r="IO37" s="806"/>
      <c r="IP37" s="806"/>
      <c r="IQ37" s="806"/>
      <c r="IR37" s="806"/>
      <c r="IS37" s="806"/>
      <c r="IT37" s="806"/>
      <c r="IU37" s="806"/>
      <c r="IV37" s="806"/>
    </row>
    <row r="38" spans="1:256" ht="16.5" customHeight="1">
      <c r="A38" s="806" t="s">
        <v>1124</v>
      </c>
      <c r="B38" s="806"/>
      <c r="C38" s="806"/>
      <c r="D38" s="2802">
        <v>25.18</v>
      </c>
      <c r="E38" s="2799"/>
      <c r="F38" s="2802">
        <v>4.2069999999999999</v>
      </c>
      <c r="G38" s="2799"/>
      <c r="H38" s="2802">
        <v>2.774</v>
      </c>
      <c r="I38" s="2799"/>
      <c r="J38" s="2802">
        <v>0</v>
      </c>
      <c r="K38" s="2800"/>
      <c r="L38" s="2803">
        <f t="shared" si="0"/>
        <v>26.613</v>
      </c>
      <c r="M38" s="813"/>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6"/>
      <c r="BA38" s="806"/>
      <c r="BB38" s="806"/>
      <c r="BC38" s="806"/>
      <c r="BD38" s="806"/>
      <c r="BE38" s="806"/>
      <c r="BF38" s="806"/>
      <c r="BG38" s="806"/>
      <c r="BH38" s="806"/>
      <c r="BI38" s="806"/>
      <c r="BJ38" s="806"/>
      <c r="BK38" s="806"/>
      <c r="BL38" s="806"/>
      <c r="BM38" s="806"/>
      <c r="BN38" s="806"/>
      <c r="BO38" s="806"/>
      <c r="BP38" s="806"/>
      <c r="BQ38" s="806"/>
      <c r="BR38" s="806"/>
      <c r="BS38" s="806"/>
      <c r="BT38" s="806"/>
      <c r="BU38" s="806"/>
      <c r="BV38" s="806"/>
      <c r="BW38" s="806"/>
      <c r="BX38" s="806"/>
      <c r="BY38" s="806"/>
      <c r="BZ38" s="806"/>
      <c r="CA38" s="806"/>
      <c r="CB38" s="806"/>
      <c r="CC38" s="806"/>
      <c r="CD38" s="806"/>
      <c r="CE38" s="806"/>
      <c r="CF38" s="806"/>
      <c r="CG38" s="806"/>
      <c r="CH38" s="806"/>
      <c r="CI38" s="806"/>
      <c r="CJ38" s="806"/>
      <c r="CK38" s="806"/>
      <c r="CL38" s="806"/>
      <c r="CM38" s="806"/>
      <c r="CN38" s="806"/>
      <c r="CO38" s="806"/>
      <c r="CP38" s="806"/>
      <c r="CQ38" s="806"/>
      <c r="CR38" s="806"/>
      <c r="CS38" s="806"/>
      <c r="CT38" s="806"/>
      <c r="CU38" s="806"/>
      <c r="CV38" s="806"/>
      <c r="CW38" s="806"/>
      <c r="CX38" s="806"/>
      <c r="CY38" s="806"/>
      <c r="CZ38" s="806"/>
      <c r="DA38" s="806"/>
      <c r="DB38" s="806"/>
      <c r="DC38" s="806"/>
      <c r="DD38" s="806"/>
      <c r="DE38" s="806"/>
      <c r="DF38" s="806"/>
      <c r="DG38" s="806"/>
      <c r="DH38" s="806"/>
      <c r="DI38" s="806"/>
      <c r="DJ38" s="806"/>
      <c r="DK38" s="806"/>
      <c r="DL38" s="806"/>
      <c r="DM38" s="806"/>
      <c r="DN38" s="806"/>
      <c r="DO38" s="806"/>
      <c r="DP38" s="806"/>
      <c r="DQ38" s="806"/>
      <c r="DR38" s="806"/>
      <c r="DS38" s="806"/>
      <c r="DT38" s="806"/>
      <c r="DU38" s="806"/>
      <c r="DV38" s="806"/>
      <c r="DW38" s="806"/>
      <c r="DX38" s="806"/>
      <c r="DY38" s="806"/>
      <c r="DZ38" s="806"/>
      <c r="EA38" s="806"/>
      <c r="EB38" s="806"/>
      <c r="EC38" s="806"/>
      <c r="ED38" s="806"/>
      <c r="EE38" s="806"/>
      <c r="EF38" s="806"/>
      <c r="EG38" s="806"/>
      <c r="EH38" s="806"/>
      <c r="EI38" s="806"/>
      <c r="EJ38" s="806"/>
      <c r="EK38" s="806"/>
      <c r="EL38" s="806"/>
      <c r="EM38" s="806"/>
      <c r="EN38" s="806"/>
      <c r="EO38" s="806"/>
      <c r="EP38" s="806"/>
      <c r="EQ38" s="806"/>
      <c r="ER38" s="806"/>
      <c r="ES38" s="806"/>
      <c r="ET38" s="806"/>
      <c r="EU38" s="806"/>
      <c r="EV38" s="806"/>
      <c r="EW38" s="806"/>
      <c r="EX38" s="806"/>
      <c r="EY38" s="806"/>
      <c r="EZ38" s="806"/>
      <c r="FA38" s="806"/>
      <c r="FB38" s="806"/>
      <c r="FC38" s="806"/>
      <c r="FD38" s="806"/>
      <c r="FE38" s="806"/>
      <c r="FF38" s="806"/>
      <c r="FG38" s="806"/>
      <c r="FH38" s="806"/>
      <c r="FI38" s="806"/>
      <c r="FJ38" s="806"/>
      <c r="FK38" s="806"/>
      <c r="FL38" s="806"/>
      <c r="FM38" s="806"/>
      <c r="FN38" s="806"/>
      <c r="FO38" s="806"/>
      <c r="FP38" s="806"/>
      <c r="FQ38" s="806"/>
      <c r="FR38" s="806"/>
      <c r="FS38" s="806"/>
      <c r="FT38" s="806"/>
      <c r="FU38" s="806"/>
      <c r="FV38" s="806"/>
      <c r="FW38" s="806"/>
      <c r="FX38" s="806"/>
      <c r="FY38" s="806"/>
      <c r="FZ38" s="806"/>
      <c r="GA38" s="806"/>
      <c r="GB38" s="806"/>
      <c r="GC38" s="806"/>
      <c r="GD38" s="806"/>
      <c r="GE38" s="806"/>
      <c r="GF38" s="806"/>
      <c r="GG38" s="806"/>
      <c r="GH38" s="806"/>
      <c r="GI38" s="806"/>
      <c r="GJ38" s="806"/>
      <c r="GK38" s="806"/>
      <c r="GL38" s="806"/>
      <c r="GM38" s="806"/>
      <c r="GN38" s="806"/>
      <c r="GO38" s="806"/>
      <c r="GP38" s="806"/>
      <c r="GQ38" s="806"/>
      <c r="GR38" s="806"/>
      <c r="GS38" s="806"/>
      <c r="GT38" s="806"/>
      <c r="GU38" s="806"/>
      <c r="GV38" s="806"/>
      <c r="GW38" s="806"/>
      <c r="GX38" s="806"/>
      <c r="GY38" s="806"/>
      <c r="GZ38" s="806"/>
      <c r="HA38" s="806"/>
      <c r="HB38" s="806"/>
      <c r="HC38" s="806"/>
      <c r="HD38" s="806"/>
      <c r="HE38" s="806"/>
      <c r="HF38" s="806"/>
      <c r="HG38" s="806"/>
      <c r="HH38" s="806"/>
      <c r="HI38" s="806"/>
      <c r="HJ38" s="806"/>
      <c r="HK38" s="806"/>
      <c r="HL38" s="806"/>
      <c r="HM38" s="806"/>
      <c r="HN38" s="806"/>
      <c r="HO38" s="806"/>
      <c r="HP38" s="806"/>
      <c r="HQ38" s="806"/>
      <c r="HR38" s="806"/>
      <c r="HS38" s="806"/>
      <c r="HT38" s="806"/>
      <c r="HU38" s="806"/>
      <c r="HV38" s="806"/>
      <c r="HW38" s="806"/>
      <c r="HX38" s="806"/>
      <c r="HY38" s="806"/>
      <c r="HZ38" s="806"/>
      <c r="IA38" s="806"/>
      <c r="IB38" s="806"/>
      <c r="IC38" s="806"/>
      <c r="ID38" s="806"/>
      <c r="IE38" s="806"/>
      <c r="IF38" s="806"/>
      <c r="IG38" s="806"/>
      <c r="IH38" s="806"/>
      <c r="II38" s="806"/>
      <c r="IJ38" s="806"/>
      <c r="IK38" s="806"/>
      <c r="IL38" s="806"/>
      <c r="IM38" s="806"/>
      <c r="IN38" s="806"/>
      <c r="IO38" s="806"/>
      <c r="IP38" s="806"/>
      <c r="IQ38" s="806"/>
      <c r="IR38" s="806"/>
      <c r="IS38" s="806"/>
      <c r="IT38" s="806"/>
      <c r="IU38" s="806"/>
      <c r="IV38" s="806"/>
    </row>
    <row r="39" spans="1:256" ht="16.5" customHeight="1">
      <c r="A39" s="806" t="s">
        <v>390</v>
      </c>
      <c r="B39" s="806"/>
      <c r="C39" s="806"/>
      <c r="D39" s="2802">
        <v>38.058999999999997</v>
      </c>
      <c r="E39" s="2799"/>
      <c r="F39" s="2802">
        <v>221.34200000000001</v>
      </c>
      <c r="G39" s="2799"/>
      <c r="H39" s="2802">
        <v>225.23599999999999</v>
      </c>
      <c r="I39" s="2799"/>
      <c r="J39" s="2802">
        <v>0</v>
      </c>
      <c r="K39" s="2800"/>
      <c r="L39" s="2803">
        <f t="shared" si="0"/>
        <v>34.164999999999999</v>
      </c>
      <c r="M39" s="813"/>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6"/>
      <c r="BA39" s="806"/>
      <c r="BB39" s="806"/>
      <c r="BC39" s="806"/>
      <c r="BD39" s="806"/>
      <c r="BE39" s="806"/>
      <c r="BF39" s="806"/>
      <c r="BG39" s="806"/>
      <c r="BH39" s="806"/>
      <c r="BI39" s="806"/>
      <c r="BJ39" s="806"/>
      <c r="BK39" s="806"/>
      <c r="BL39" s="806"/>
      <c r="BM39" s="806"/>
      <c r="BN39" s="806"/>
      <c r="BO39" s="806"/>
      <c r="BP39" s="806"/>
      <c r="BQ39" s="806"/>
      <c r="BR39" s="806"/>
      <c r="BS39" s="806"/>
      <c r="BT39" s="806"/>
      <c r="BU39" s="806"/>
      <c r="BV39" s="806"/>
      <c r="BW39" s="806"/>
      <c r="BX39" s="806"/>
      <c r="BY39" s="806"/>
      <c r="BZ39" s="806"/>
      <c r="CA39" s="806"/>
      <c r="CB39" s="806"/>
      <c r="CC39" s="806"/>
      <c r="CD39" s="806"/>
      <c r="CE39" s="806"/>
      <c r="CF39" s="806"/>
      <c r="CG39" s="806"/>
      <c r="CH39" s="806"/>
      <c r="CI39" s="806"/>
      <c r="CJ39" s="806"/>
      <c r="CK39" s="806"/>
      <c r="CL39" s="806"/>
      <c r="CM39" s="806"/>
      <c r="CN39" s="806"/>
      <c r="CO39" s="806"/>
      <c r="CP39" s="806"/>
      <c r="CQ39" s="806"/>
      <c r="CR39" s="806"/>
      <c r="CS39" s="806"/>
      <c r="CT39" s="806"/>
      <c r="CU39" s="806"/>
      <c r="CV39" s="806"/>
      <c r="CW39" s="806"/>
      <c r="CX39" s="806"/>
      <c r="CY39" s="806"/>
      <c r="CZ39" s="806"/>
      <c r="DA39" s="806"/>
      <c r="DB39" s="806"/>
      <c r="DC39" s="806"/>
      <c r="DD39" s="806"/>
      <c r="DE39" s="806"/>
      <c r="DF39" s="806"/>
      <c r="DG39" s="806"/>
      <c r="DH39" s="806"/>
      <c r="DI39" s="806"/>
      <c r="DJ39" s="806"/>
      <c r="DK39" s="806"/>
      <c r="DL39" s="806"/>
      <c r="DM39" s="806"/>
      <c r="DN39" s="806"/>
      <c r="DO39" s="806"/>
      <c r="DP39" s="806"/>
      <c r="DQ39" s="806"/>
      <c r="DR39" s="806"/>
      <c r="DS39" s="806"/>
      <c r="DT39" s="806"/>
      <c r="DU39" s="806"/>
      <c r="DV39" s="806"/>
      <c r="DW39" s="806"/>
      <c r="DX39" s="806"/>
      <c r="DY39" s="806"/>
      <c r="DZ39" s="806"/>
      <c r="EA39" s="806"/>
      <c r="EB39" s="806"/>
      <c r="EC39" s="806"/>
      <c r="ED39" s="806"/>
      <c r="EE39" s="806"/>
      <c r="EF39" s="806"/>
      <c r="EG39" s="806"/>
      <c r="EH39" s="806"/>
      <c r="EI39" s="806"/>
      <c r="EJ39" s="806"/>
      <c r="EK39" s="806"/>
      <c r="EL39" s="806"/>
      <c r="EM39" s="806"/>
      <c r="EN39" s="806"/>
      <c r="EO39" s="806"/>
      <c r="EP39" s="806"/>
      <c r="EQ39" s="806"/>
      <c r="ER39" s="806"/>
      <c r="ES39" s="806"/>
      <c r="ET39" s="806"/>
      <c r="EU39" s="806"/>
      <c r="EV39" s="806"/>
      <c r="EW39" s="806"/>
      <c r="EX39" s="806"/>
      <c r="EY39" s="806"/>
      <c r="EZ39" s="806"/>
      <c r="FA39" s="806"/>
      <c r="FB39" s="806"/>
      <c r="FC39" s="806"/>
      <c r="FD39" s="806"/>
      <c r="FE39" s="806"/>
      <c r="FF39" s="806"/>
      <c r="FG39" s="806"/>
      <c r="FH39" s="806"/>
      <c r="FI39" s="806"/>
      <c r="FJ39" s="806"/>
      <c r="FK39" s="806"/>
      <c r="FL39" s="806"/>
      <c r="FM39" s="806"/>
      <c r="FN39" s="806"/>
      <c r="FO39" s="806"/>
      <c r="FP39" s="806"/>
      <c r="FQ39" s="806"/>
      <c r="FR39" s="806"/>
      <c r="FS39" s="806"/>
      <c r="FT39" s="806"/>
      <c r="FU39" s="806"/>
      <c r="FV39" s="806"/>
      <c r="FW39" s="806"/>
      <c r="FX39" s="806"/>
      <c r="FY39" s="806"/>
      <c r="FZ39" s="806"/>
      <c r="GA39" s="806"/>
      <c r="GB39" s="806"/>
      <c r="GC39" s="806"/>
      <c r="GD39" s="806"/>
      <c r="GE39" s="806"/>
      <c r="GF39" s="806"/>
      <c r="GG39" s="806"/>
      <c r="GH39" s="806"/>
      <c r="GI39" s="806"/>
      <c r="GJ39" s="806"/>
      <c r="GK39" s="806"/>
      <c r="GL39" s="806"/>
      <c r="GM39" s="806"/>
      <c r="GN39" s="806"/>
      <c r="GO39" s="806"/>
      <c r="GP39" s="806"/>
      <c r="GQ39" s="806"/>
      <c r="GR39" s="806"/>
      <c r="GS39" s="806"/>
      <c r="GT39" s="806"/>
      <c r="GU39" s="806"/>
      <c r="GV39" s="806"/>
      <c r="GW39" s="806"/>
      <c r="GX39" s="806"/>
      <c r="GY39" s="806"/>
      <c r="GZ39" s="806"/>
      <c r="HA39" s="806"/>
      <c r="HB39" s="806"/>
      <c r="HC39" s="806"/>
      <c r="HD39" s="806"/>
      <c r="HE39" s="806"/>
      <c r="HF39" s="806"/>
      <c r="HG39" s="806"/>
      <c r="HH39" s="806"/>
      <c r="HI39" s="806"/>
      <c r="HJ39" s="806"/>
      <c r="HK39" s="806"/>
      <c r="HL39" s="806"/>
      <c r="HM39" s="806"/>
      <c r="HN39" s="806"/>
      <c r="HO39" s="806"/>
      <c r="HP39" s="806"/>
      <c r="HQ39" s="806"/>
      <c r="HR39" s="806"/>
      <c r="HS39" s="806"/>
      <c r="HT39" s="806"/>
      <c r="HU39" s="806"/>
      <c r="HV39" s="806"/>
      <c r="HW39" s="806"/>
      <c r="HX39" s="806"/>
      <c r="HY39" s="806"/>
      <c r="HZ39" s="806"/>
      <c r="IA39" s="806"/>
      <c r="IB39" s="806"/>
      <c r="IC39" s="806"/>
      <c r="ID39" s="806"/>
      <c r="IE39" s="806"/>
      <c r="IF39" s="806"/>
      <c r="IG39" s="806"/>
      <c r="IH39" s="806"/>
      <c r="II39" s="806"/>
      <c r="IJ39" s="806"/>
      <c r="IK39" s="806"/>
      <c r="IL39" s="806"/>
      <c r="IM39" s="806"/>
      <c r="IN39" s="806"/>
      <c r="IO39" s="806"/>
      <c r="IP39" s="806"/>
      <c r="IQ39" s="806"/>
      <c r="IR39" s="806"/>
      <c r="IS39" s="806"/>
      <c r="IT39" s="806"/>
      <c r="IU39" s="806"/>
      <c r="IV39" s="806"/>
    </row>
    <row r="40" spans="1:256" ht="16.5" customHeight="1">
      <c r="A40" s="806" t="s">
        <v>1125</v>
      </c>
      <c r="B40" s="806"/>
      <c r="C40" s="806"/>
      <c r="D40" s="2802">
        <v>314.66000000000003</v>
      </c>
      <c r="E40" s="2799"/>
      <c r="F40" s="2802">
        <v>5706.82</v>
      </c>
      <c r="G40" s="2799"/>
      <c r="H40" s="2802">
        <v>5705.402</v>
      </c>
      <c r="I40" s="2799"/>
      <c r="J40" s="2802">
        <v>-96</v>
      </c>
      <c r="K40" s="2800"/>
      <c r="L40" s="2803">
        <f t="shared" si="0"/>
        <v>220.078</v>
      </c>
      <c r="M40" s="813"/>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6"/>
      <c r="BA40" s="806"/>
      <c r="BB40" s="806"/>
      <c r="BC40" s="806"/>
      <c r="BD40" s="806"/>
      <c r="BE40" s="806"/>
      <c r="BF40" s="806"/>
      <c r="BG40" s="806"/>
      <c r="BH40" s="806"/>
      <c r="BI40" s="806"/>
      <c r="BJ40" s="806"/>
      <c r="BK40" s="806"/>
      <c r="BL40" s="806"/>
      <c r="BM40" s="806"/>
      <c r="BN40" s="806"/>
      <c r="BO40" s="806"/>
      <c r="BP40" s="806"/>
      <c r="BQ40" s="806"/>
      <c r="BR40" s="806"/>
      <c r="BS40" s="806"/>
      <c r="BT40" s="806"/>
      <c r="BU40" s="806"/>
      <c r="BV40" s="806"/>
      <c r="BW40" s="806"/>
      <c r="BX40" s="806"/>
      <c r="BY40" s="806"/>
      <c r="BZ40" s="806"/>
      <c r="CA40" s="806"/>
      <c r="CB40" s="806"/>
      <c r="CC40" s="806"/>
      <c r="CD40" s="806"/>
      <c r="CE40" s="806"/>
      <c r="CF40" s="806"/>
      <c r="CG40" s="806"/>
      <c r="CH40" s="806"/>
      <c r="CI40" s="806"/>
      <c r="CJ40" s="806"/>
      <c r="CK40" s="806"/>
      <c r="CL40" s="806"/>
      <c r="CM40" s="806"/>
      <c r="CN40" s="806"/>
      <c r="CO40" s="806"/>
      <c r="CP40" s="806"/>
      <c r="CQ40" s="806"/>
      <c r="CR40" s="806"/>
      <c r="CS40" s="806"/>
      <c r="CT40" s="806"/>
      <c r="CU40" s="806"/>
      <c r="CV40" s="806"/>
      <c r="CW40" s="806"/>
      <c r="CX40" s="806"/>
      <c r="CY40" s="806"/>
      <c r="CZ40" s="806"/>
      <c r="DA40" s="806"/>
      <c r="DB40" s="806"/>
      <c r="DC40" s="806"/>
      <c r="DD40" s="806"/>
      <c r="DE40" s="806"/>
      <c r="DF40" s="806"/>
      <c r="DG40" s="806"/>
      <c r="DH40" s="806"/>
      <c r="DI40" s="806"/>
      <c r="DJ40" s="806"/>
      <c r="DK40" s="806"/>
      <c r="DL40" s="806"/>
      <c r="DM40" s="806"/>
      <c r="DN40" s="806"/>
      <c r="DO40" s="806"/>
      <c r="DP40" s="806"/>
      <c r="DQ40" s="806"/>
      <c r="DR40" s="806"/>
      <c r="DS40" s="806"/>
      <c r="DT40" s="806"/>
      <c r="DU40" s="806"/>
      <c r="DV40" s="806"/>
      <c r="DW40" s="806"/>
      <c r="DX40" s="806"/>
      <c r="DY40" s="806"/>
      <c r="DZ40" s="806"/>
      <c r="EA40" s="806"/>
      <c r="EB40" s="806"/>
      <c r="EC40" s="806"/>
      <c r="ED40" s="806"/>
      <c r="EE40" s="806"/>
      <c r="EF40" s="806"/>
      <c r="EG40" s="806"/>
      <c r="EH40" s="806"/>
      <c r="EI40" s="806"/>
      <c r="EJ40" s="806"/>
      <c r="EK40" s="806"/>
      <c r="EL40" s="806"/>
      <c r="EM40" s="806"/>
      <c r="EN40" s="806"/>
      <c r="EO40" s="806"/>
      <c r="EP40" s="806"/>
      <c r="EQ40" s="806"/>
      <c r="ER40" s="806"/>
      <c r="ES40" s="806"/>
      <c r="ET40" s="806"/>
      <c r="EU40" s="806"/>
      <c r="EV40" s="806"/>
      <c r="EW40" s="806"/>
      <c r="EX40" s="806"/>
      <c r="EY40" s="806"/>
      <c r="EZ40" s="806"/>
      <c r="FA40" s="806"/>
      <c r="FB40" s="806"/>
      <c r="FC40" s="806"/>
      <c r="FD40" s="806"/>
      <c r="FE40" s="806"/>
      <c r="FF40" s="806"/>
      <c r="FG40" s="806"/>
      <c r="FH40" s="806"/>
      <c r="FI40" s="806"/>
      <c r="FJ40" s="806"/>
      <c r="FK40" s="806"/>
      <c r="FL40" s="806"/>
      <c r="FM40" s="806"/>
      <c r="FN40" s="806"/>
      <c r="FO40" s="806"/>
      <c r="FP40" s="806"/>
      <c r="FQ40" s="806"/>
      <c r="FR40" s="806"/>
      <c r="FS40" s="806"/>
      <c r="FT40" s="806"/>
      <c r="FU40" s="806"/>
      <c r="FV40" s="806"/>
      <c r="FW40" s="806"/>
      <c r="FX40" s="806"/>
      <c r="FY40" s="806"/>
      <c r="FZ40" s="806"/>
      <c r="GA40" s="806"/>
      <c r="GB40" s="806"/>
      <c r="GC40" s="806"/>
      <c r="GD40" s="806"/>
      <c r="GE40" s="806"/>
      <c r="GF40" s="806"/>
      <c r="GG40" s="806"/>
      <c r="GH40" s="806"/>
      <c r="GI40" s="806"/>
      <c r="GJ40" s="806"/>
      <c r="GK40" s="806"/>
      <c r="GL40" s="806"/>
      <c r="GM40" s="806"/>
      <c r="GN40" s="806"/>
      <c r="GO40" s="806"/>
      <c r="GP40" s="806"/>
      <c r="GQ40" s="806"/>
      <c r="GR40" s="806"/>
      <c r="GS40" s="806"/>
      <c r="GT40" s="806"/>
      <c r="GU40" s="806"/>
      <c r="GV40" s="806"/>
      <c r="GW40" s="806"/>
      <c r="GX40" s="806"/>
      <c r="GY40" s="806"/>
      <c r="GZ40" s="806"/>
      <c r="HA40" s="806"/>
      <c r="HB40" s="806"/>
      <c r="HC40" s="806"/>
      <c r="HD40" s="806"/>
      <c r="HE40" s="806"/>
      <c r="HF40" s="806"/>
      <c r="HG40" s="806"/>
      <c r="HH40" s="806"/>
      <c r="HI40" s="806"/>
      <c r="HJ40" s="806"/>
      <c r="HK40" s="806"/>
      <c r="HL40" s="806"/>
      <c r="HM40" s="806"/>
      <c r="HN40" s="806"/>
      <c r="HO40" s="806"/>
      <c r="HP40" s="806"/>
      <c r="HQ40" s="806"/>
      <c r="HR40" s="806"/>
      <c r="HS40" s="806"/>
      <c r="HT40" s="806"/>
      <c r="HU40" s="806"/>
      <c r="HV40" s="806"/>
      <c r="HW40" s="806"/>
      <c r="HX40" s="806"/>
      <c r="HY40" s="806"/>
      <c r="HZ40" s="806"/>
      <c r="IA40" s="806"/>
      <c r="IB40" s="806"/>
      <c r="IC40" s="806"/>
      <c r="ID40" s="806"/>
      <c r="IE40" s="806"/>
      <c r="IF40" s="806"/>
      <c r="IG40" s="806"/>
      <c r="IH40" s="806"/>
      <c r="II40" s="806"/>
      <c r="IJ40" s="806"/>
      <c r="IK40" s="806"/>
      <c r="IL40" s="806"/>
      <c r="IM40" s="806"/>
      <c r="IN40" s="806"/>
      <c r="IO40" s="806"/>
      <c r="IP40" s="806"/>
      <c r="IQ40" s="806"/>
      <c r="IR40" s="806"/>
      <c r="IS40" s="806"/>
      <c r="IT40" s="806"/>
      <c r="IU40" s="806"/>
      <c r="IV40" s="806"/>
    </row>
    <row r="41" spans="1:256" ht="15.75" customHeight="1">
      <c r="A41" s="806" t="s">
        <v>391</v>
      </c>
      <c r="B41" s="806"/>
      <c r="C41" s="806"/>
      <c r="D41" s="2802">
        <v>0</v>
      </c>
      <c r="E41" s="2799"/>
      <c r="F41" s="2802">
        <v>0</v>
      </c>
      <c r="G41" s="2799"/>
      <c r="H41" s="2802">
        <v>0</v>
      </c>
      <c r="I41" s="2799"/>
      <c r="J41" s="2802">
        <v>0</v>
      </c>
      <c r="K41" s="2800"/>
      <c r="L41" s="2803">
        <f t="shared" si="0"/>
        <v>0</v>
      </c>
      <c r="M41" s="813"/>
      <c r="N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6"/>
      <c r="BA41" s="806"/>
      <c r="BB41" s="806"/>
      <c r="BC41" s="806"/>
      <c r="BD41" s="806"/>
      <c r="BE41" s="806"/>
      <c r="BF41" s="806"/>
      <c r="BG41" s="806"/>
      <c r="BH41" s="806"/>
      <c r="BI41" s="806"/>
      <c r="BJ41" s="806"/>
      <c r="BK41" s="806"/>
      <c r="BL41" s="806"/>
      <c r="BM41" s="806"/>
      <c r="BN41" s="806"/>
      <c r="BO41" s="806"/>
      <c r="BP41" s="806"/>
      <c r="BQ41" s="806"/>
      <c r="BR41" s="806"/>
      <c r="BS41" s="806"/>
      <c r="BT41" s="806"/>
      <c r="BU41" s="806"/>
      <c r="BV41" s="806"/>
      <c r="BW41" s="806"/>
      <c r="BX41" s="806"/>
      <c r="BY41" s="806"/>
      <c r="BZ41" s="806"/>
      <c r="CA41" s="806"/>
      <c r="CB41" s="806"/>
      <c r="CC41" s="806"/>
      <c r="CD41" s="806"/>
      <c r="CE41" s="806"/>
      <c r="CF41" s="806"/>
      <c r="CG41" s="806"/>
      <c r="CH41" s="806"/>
      <c r="CI41" s="806"/>
      <c r="CJ41" s="806"/>
      <c r="CK41" s="806"/>
      <c r="CL41" s="806"/>
      <c r="CM41" s="806"/>
      <c r="CN41" s="806"/>
      <c r="CO41" s="806"/>
      <c r="CP41" s="806"/>
      <c r="CQ41" s="806"/>
      <c r="CR41" s="806"/>
      <c r="CS41" s="806"/>
      <c r="CT41" s="806"/>
      <c r="CU41" s="806"/>
      <c r="CV41" s="806"/>
      <c r="CW41" s="806"/>
      <c r="CX41" s="806"/>
      <c r="CY41" s="806"/>
      <c r="CZ41" s="806"/>
      <c r="DA41" s="806"/>
      <c r="DB41" s="806"/>
      <c r="DC41" s="806"/>
      <c r="DD41" s="806"/>
      <c r="DE41" s="806"/>
      <c r="DF41" s="806"/>
      <c r="DG41" s="806"/>
      <c r="DH41" s="806"/>
      <c r="DI41" s="806"/>
      <c r="DJ41" s="806"/>
      <c r="DK41" s="806"/>
      <c r="DL41" s="806"/>
      <c r="DM41" s="806"/>
      <c r="DN41" s="806"/>
      <c r="DO41" s="806"/>
      <c r="DP41" s="806"/>
      <c r="DQ41" s="806"/>
      <c r="DR41" s="806"/>
      <c r="DS41" s="806"/>
      <c r="DT41" s="806"/>
      <c r="DU41" s="806"/>
      <c r="DV41" s="806"/>
      <c r="DW41" s="806"/>
      <c r="DX41" s="806"/>
      <c r="DY41" s="806"/>
      <c r="DZ41" s="806"/>
      <c r="EA41" s="806"/>
      <c r="EB41" s="806"/>
      <c r="EC41" s="806"/>
      <c r="ED41" s="806"/>
      <c r="EE41" s="806"/>
      <c r="EF41" s="806"/>
      <c r="EG41" s="806"/>
      <c r="EH41" s="806"/>
      <c r="EI41" s="806"/>
      <c r="EJ41" s="806"/>
      <c r="EK41" s="806"/>
      <c r="EL41" s="806"/>
      <c r="EM41" s="806"/>
      <c r="EN41" s="806"/>
      <c r="EO41" s="806"/>
      <c r="EP41" s="806"/>
      <c r="EQ41" s="806"/>
      <c r="ER41" s="806"/>
      <c r="ES41" s="806"/>
      <c r="ET41" s="806"/>
      <c r="EU41" s="806"/>
      <c r="EV41" s="806"/>
      <c r="EW41" s="806"/>
      <c r="EX41" s="806"/>
      <c r="EY41" s="806"/>
      <c r="EZ41" s="806"/>
      <c r="FA41" s="806"/>
      <c r="FB41" s="806"/>
      <c r="FC41" s="806"/>
      <c r="FD41" s="806"/>
      <c r="FE41" s="806"/>
      <c r="FF41" s="806"/>
      <c r="FG41" s="806"/>
      <c r="FH41" s="806"/>
      <c r="FI41" s="806"/>
      <c r="FJ41" s="806"/>
      <c r="FK41" s="806"/>
      <c r="FL41" s="806"/>
      <c r="FM41" s="806"/>
      <c r="FN41" s="806"/>
      <c r="FO41" s="806"/>
      <c r="FP41" s="806"/>
      <c r="FQ41" s="806"/>
      <c r="FR41" s="806"/>
      <c r="FS41" s="806"/>
      <c r="FT41" s="806"/>
      <c r="FU41" s="806"/>
      <c r="FV41" s="806"/>
      <c r="FW41" s="806"/>
      <c r="FX41" s="806"/>
      <c r="FY41" s="806"/>
      <c r="FZ41" s="806"/>
      <c r="GA41" s="806"/>
      <c r="GB41" s="806"/>
      <c r="GC41" s="806"/>
      <c r="GD41" s="806"/>
      <c r="GE41" s="806"/>
      <c r="GF41" s="806"/>
      <c r="GG41" s="806"/>
      <c r="GH41" s="806"/>
      <c r="GI41" s="806"/>
      <c r="GJ41" s="806"/>
      <c r="GK41" s="806"/>
      <c r="GL41" s="806"/>
      <c r="GM41" s="806"/>
      <c r="GN41" s="806"/>
      <c r="GO41" s="806"/>
      <c r="GP41" s="806"/>
      <c r="GQ41" s="806"/>
      <c r="GR41" s="806"/>
      <c r="GS41" s="806"/>
      <c r="GT41" s="806"/>
      <c r="GU41" s="806"/>
      <c r="GV41" s="806"/>
      <c r="GW41" s="806"/>
      <c r="GX41" s="806"/>
      <c r="GY41" s="806"/>
      <c r="GZ41" s="806"/>
      <c r="HA41" s="806"/>
      <c r="HB41" s="806"/>
      <c r="HC41" s="806"/>
      <c r="HD41" s="806"/>
      <c r="HE41" s="806"/>
      <c r="HF41" s="806"/>
      <c r="HG41" s="806"/>
      <c r="HH41" s="806"/>
      <c r="HI41" s="806"/>
      <c r="HJ41" s="806"/>
      <c r="HK41" s="806"/>
      <c r="HL41" s="806"/>
      <c r="HM41" s="806"/>
      <c r="HN41" s="806"/>
      <c r="HO41" s="806"/>
      <c r="HP41" s="806"/>
      <c r="HQ41" s="806"/>
      <c r="HR41" s="806"/>
      <c r="HS41" s="806"/>
      <c r="HT41" s="806"/>
      <c r="HU41" s="806"/>
      <c r="HV41" s="806"/>
      <c r="HW41" s="806"/>
      <c r="HX41" s="806"/>
      <c r="HY41" s="806"/>
      <c r="HZ41" s="806"/>
      <c r="IA41" s="806"/>
      <c r="IB41" s="806"/>
      <c r="IC41" s="806"/>
      <c r="ID41" s="806"/>
      <c r="IE41" s="806"/>
      <c r="IF41" s="806"/>
      <c r="IG41" s="806"/>
      <c r="IH41" s="806"/>
      <c r="II41" s="806"/>
      <c r="IJ41" s="806"/>
      <c r="IK41" s="806"/>
      <c r="IL41" s="806"/>
      <c r="IM41" s="806"/>
      <c r="IN41" s="806"/>
      <c r="IO41" s="806"/>
      <c r="IP41" s="806"/>
      <c r="IQ41" s="806"/>
      <c r="IR41" s="806"/>
      <c r="IS41" s="806"/>
      <c r="IT41" s="806"/>
      <c r="IU41" s="806"/>
      <c r="IV41" s="806"/>
    </row>
    <row r="42" spans="1:256" ht="15.75" customHeight="1">
      <c r="A42" s="806" t="s">
        <v>1114</v>
      </c>
      <c r="B42" s="806"/>
      <c r="C42" s="806"/>
      <c r="D42" s="2802">
        <v>110.389</v>
      </c>
      <c r="E42" s="2799"/>
      <c r="F42" s="2802">
        <v>-11.379</v>
      </c>
      <c r="G42" s="2799"/>
      <c r="H42" s="2802">
        <v>0</v>
      </c>
      <c r="I42" s="2799"/>
      <c r="J42" s="2802">
        <v>0</v>
      </c>
      <c r="K42" s="2800"/>
      <c r="L42" s="2803">
        <f t="shared" si="0"/>
        <v>99.01</v>
      </c>
      <c r="M42" s="813"/>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6"/>
      <c r="BA42" s="806"/>
      <c r="BB42" s="806"/>
      <c r="BC42" s="806"/>
      <c r="BD42" s="806"/>
      <c r="BE42" s="806"/>
      <c r="BF42" s="806"/>
      <c r="BG42" s="806"/>
      <c r="BH42" s="806"/>
      <c r="BI42" s="806"/>
      <c r="BJ42" s="806"/>
      <c r="BK42" s="806"/>
      <c r="BL42" s="806"/>
      <c r="BM42" s="806"/>
      <c r="BN42" s="806"/>
      <c r="BO42" s="806"/>
      <c r="BP42" s="806"/>
      <c r="BQ42" s="806"/>
      <c r="BR42" s="806"/>
      <c r="BS42" s="806"/>
      <c r="BT42" s="806"/>
      <c r="BU42" s="806"/>
      <c r="BV42" s="806"/>
      <c r="BW42" s="806"/>
      <c r="BX42" s="806"/>
      <c r="BY42" s="806"/>
      <c r="BZ42" s="806"/>
      <c r="CA42" s="806"/>
      <c r="CB42" s="806"/>
      <c r="CC42" s="806"/>
      <c r="CD42" s="806"/>
      <c r="CE42" s="806"/>
      <c r="CF42" s="806"/>
      <c r="CG42" s="806"/>
      <c r="CH42" s="806"/>
      <c r="CI42" s="806"/>
      <c r="CJ42" s="806"/>
      <c r="CK42" s="806"/>
      <c r="CL42" s="806"/>
      <c r="CM42" s="806"/>
      <c r="CN42" s="806"/>
      <c r="CO42" s="806"/>
      <c r="CP42" s="806"/>
      <c r="CQ42" s="806"/>
      <c r="CR42" s="806"/>
      <c r="CS42" s="806"/>
      <c r="CT42" s="806"/>
      <c r="CU42" s="806"/>
      <c r="CV42" s="806"/>
      <c r="CW42" s="806"/>
      <c r="CX42" s="806"/>
      <c r="CY42" s="806"/>
      <c r="CZ42" s="806"/>
      <c r="DA42" s="806"/>
      <c r="DB42" s="806"/>
      <c r="DC42" s="806"/>
      <c r="DD42" s="806"/>
      <c r="DE42" s="806"/>
      <c r="DF42" s="806"/>
      <c r="DG42" s="806"/>
      <c r="DH42" s="806"/>
      <c r="DI42" s="806"/>
      <c r="DJ42" s="806"/>
      <c r="DK42" s="806"/>
      <c r="DL42" s="806"/>
      <c r="DM42" s="806"/>
      <c r="DN42" s="806"/>
      <c r="DO42" s="806"/>
      <c r="DP42" s="806"/>
      <c r="DQ42" s="806"/>
      <c r="DR42" s="806"/>
      <c r="DS42" s="806"/>
      <c r="DT42" s="806"/>
      <c r="DU42" s="806"/>
      <c r="DV42" s="806"/>
      <c r="DW42" s="806"/>
      <c r="DX42" s="806"/>
      <c r="DY42" s="806"/>
      <c r="DZ42" s="806"/>
      <c r="EA42" s="806"/>
      <c r="EB42" s="806"/>
      <c r="EC42" s="806"/>
      <c r="ED42" s="806"/>
      <c r="EE42" s="806"/>
      <c r="EF42" s="806"/>
      <c r="EG42" s="806"/>
      <c r="EH42" s="806"/>
      <c r="EI42" s="806"/>
      <c r="EJ42" s="806"/>
      <c r="EK42" s="806"/>
      <c r="EL42" s="806"/>
      <c r="EM42" s="806"/>
      <c r="EN42" s="806"/>
      <c r="EO42" s="806"/>
      <c r="EP42" s="806"/>
      <c r="EQ42" s="806"/>
      <c r="ER42" s="806"/>
      <c r="ES42" s="806"/>
      <c r="ET42" s="806"/>
      <c r="EU42" s="806"/>
      <c r="EV42" s="806"/>
      <c r="EW42" s="806"/>
      <c r="EX42" s="806"/>
      <c r="EY42" s="806"/>
      <c r="EZ42" s="806"/>
      <c r="FA42" s="806"/>
      <c r="FB42" s="806"/>
      <c r="FC42" s="806"/>
      <c r="FD42" s="806"/>
      <c r="FE42" s="806"/>
      <c r="FF42" s="806"/>
      <c r="FG42" s="806"/>
      <c r="FH42" s="806"/>
      <c r="FI42" s="806"/>
      <c r="FJ42" s="806"/>
      <c r="FK42" s="806"/>
      <c r="FL42" s="806"/>
      <c r="FM42" s="806"/>
      <c r="FN42" s="806"/>
      <c r="FO42" s="806"/>
      <c r="FP42" s="806"/>
      <c r="FQ42" s="806"/>
      <c r="FR42" s="806"/>
      <c r="FS42" s="806"/>
      <c r="FT42" s="806"/>
      <c r="FU42" s="806"/>
      <c r="FV42" s="806"/>
      <c r="FW42" s="806"/>
      <c r="FX42" s="806"/>
      <c r="FY42" s="806"/>
      <c r="FZ42" s="806"/>
      <c r="GA42" s="806"/>
      <c r="GB42" s="806"/>
      <c r="GC42" s="806"/>
      <c r="GD42" s="806"/>
      <c r="GE42" s="806"/>
      <c r="GF42" s="806"/>
      <c r="GG42" s="806"/>
      <c r="GH42" s="806"/>
      <c r="GI42" s="806"/>
      <c r="GJ42" s="806"/>
      <c r="GK42" s="806"/>
      <c r="GL42" s="806"/>
      <c r="GM42" s="806"/>
      <c r="GN42" s="806"/>
      <c r="GO42" s="806"/>
      <c r="GP42" s="806"/>
      <c r="GQ42" s="806"/>
      <c r="GR42" s="806"/>
      <c r="GS42" s="806"/>
      <c r="GT42" s="806"/>
      <c r="GU42" s="806"/>
      <c r="GV42" s="806"/>
      <c r="GW42" s="806"/>
      <c r="GX42" s="806"/>
      <c r="GY42" s="806"/>
      <c r="GZ42" s="806"/>
      <c r="HA42" s="806"/>
      <c r="HB42" s="806"/>
      <c r="HC42" s="806"/>
      <c r="HD42" s="806"/>
      <c r="HE42" s="806"/>
      <c r="HF42" s="806"/>
      <c r="HG42" s="806"/>
      <c r="HH42" s="806"/>
      <c r="HI42" s="806"/>
      <c r="HJ42" s="806"/>
      <c r="HK42" s="806"/>
      <c r="HL42" s="806"/>
      <c r="HM42" s="806"/>
      <c r="HN42" s="806"/>
      <c r="HO42" s="806"/>
      <c r="HP42" s="806"/>
      <c r="HQ42" s="806"/>
      <c r="HR42" s="806"/>
      <c r="HS42" s="806"/>
      <c r="HT42" s="806"/>
      <c r="HU42" s="806"/>
      <c r="HV42" s="806"/>
      <c r="HW42" s="806"/>
      <c r="HX42" s="806"/>
      <c r="HY42" s="806"/>
      <c r="HZ42" s="806"/>
      <c r="IA42" s="806"/>
      <c r="IB42" s="806"/>
      <c r="IC42" s="806"/>
      <c r="ID42" s="806"/>
      <c r="IE42" s="806"/>
      <c r="IF42" s="806"/>
      <c r="IG42" s="806"/>
      <c r="IH42" s="806"/>
      <c r="II42" s="806"/>
      <c r="IJ42" s="806"/>
      <c r="IK42" s="806"/>
      <c r="IL42" s="806"/>
      <c r="IM42" s="806"/>
      <c r="IN42" s="806"/>
      <c r="IO42" s="806"/>
      <c r="IP42" s="806"/>
      <c r="IQ42" s="806"/>
      <c r="IR42" s="806"/>
      <c r="IS42" s="806"/>
      <c r="IT42" s="806"/>
      <c r="IU42" s="806"/>
      <c r="IV42" s="806"/>
    </row>
    <row r="43" spans="1:256" ht="15.75" customHeight="1">
      <c r="A43" s="806" t="s">
        <v>1115</v>
      </c>
      <c r="B43" s="806"/>
      <c r="C43" s="806"/>
      <c r="D43" s="2802">
        <v>-0.442</v>
      </c>
      <c r="E43" s="2799"/>
      <c r="F43" s="2802">
        <v>6.1369999999999996</v>
      </c>
      <c r="G43" s="2799"/>
      <c r="H43" s="2802">
        <v>7.85</v>
      </c>
      <c r="I43" s="2799"/>
      <c r="J43" s="2802">
        <v>0</v>
      </c>
      <c r="K43" s="2800"/>
      <c r="L43" s="2803">
        <f t="shared" si="0"/>
        <v>-2.1549999999999998</v>
      </c>
      <c r="M43" s="813"/>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6"/>
      <c r="BA43" s="806"/>
      <c r="BB43" s="806"/>
      <c r="BC43" s="806"/>
      <c r="BD43" s="806"/>
      <c r="BE43" s="806"/>
      <c r="BF43" s="806"/>
      <c r="BG43" s="806"/>
      <c r="BH43" s="806"/>
      <c r="BI43" s="806"/>
      <c r="BJ43" s="806"/>
      <c r="BK43" s="806"/>
      <c r="BL43" s="806"/>
      <c r="BM43" s="806"/>
      <c r="BN43" s="806"/>
      <c r="BO43" s="806"/>
      <c r="BP43" s="806"/>
      <c r="BQ43" s="806"/>
      <c r="BR43" s="806"/>
      <c r="BS43" s="806"/>
      <c r="BT43" s="806"/>
      <c r="BU43" s="806"/>
      <c r="BV43" s="806"/>
      <c r="BW43" s="806"/>
      <c r="BX43" s="806"/>
      <c r="BY43" s="806"/>
      <c r="BZ43" s="806"/>
      <c r="CA43" s="806"/>
      <c r="CB43" s="806"/>
      <c r="CC43" s="806"/>
      <c r="CD43" s="806"/>
      <c r="CE43" s="806"/>
      <c r="CF43" s="806"/>
      <c r="CG43" s="806"/>
      <c r="CH43" s="806"/>
      <c r="CI43" s="806"/>
      <c r="CJ43" s="806"/>
      <c r="CK43" s="806"/>
      <c r="CL43" s="806"/>
      <c r="CM43" s="806"/>
      <c r="CN43" s="806"/>
      <c r="CO43" s="806"/>
      <c r="CP43" s="806"/>
      <c r="CQ43" s="806"/>
      <c r="CR43" s="806"/>
      <c r="CS43" s="806"/>
      <c r="CT43" s="806"/>
      <c r="CU43" s="806"/>
      <c r="CV43" s="806"/>
      <c r="CW43" s="806"/>
      <c r="CX43" s="806"/>
      <c r="CY43" s="806"/>
      <c r="CZ43" s="806"/>
      <c r="DA43" s="806"/>
      <c r="DB43" s="806"/>
      <c r="DC43" s="806"/>
      <c r="DD43" s="806"/>
      <c r="DE43" s="806"/>
      <c r="DF43" s="806"/>
      <c r="DG43" s="806"/>
      <c r="DH43" s="806"/>
      <c r="DI43" s="806"/>
      <c r="DJ43" s="806"/>
      <c r="DK43" s="806"/>
      <c r="DL43" s="806"/>
      <c r="DM43" s="806"/>
      <c r="DN43" s="806"/>
      <c r="DO43" s="806"/>
      <c r="DP43" s="806"/>
      <c r="DQ43" s="806"/>
      <c r="DR43" s="806"/>
      <c r="DS43" s="806"/>
      <c r="DT43" s="806"/>
      <c r="DU43" s="806"/>
      <c r="DV43" s="806"/>
      <c r="DW43" s="806"/>
      <c r="DX43" s="806"/>
      <c r="DY43" s="806"/>
      <c r="DZ43" s="806"/>
      <c r="EA43" s="806"/>
      <c r="EB43" s="806"/>
      <c r="EC43" s="806"/>
      <c r="ED43" s="806"/>
      <c r="EE43" s="806"/>
      <c r="EF43" s="806"/>
      <c r="EG43" s="806"/>
      <c r="EH43" s="806"/>
      <c r="EI43" s="806"/>
      <c r="EJ43" s="806"/>
      <c r="EK43" s="806"/>
      <c r="EL43" s="806"/>
      <c r="EM43" s="806"/>
      <c r="EN43" s="806"/>
      <c r="EO43" s="806"/>
      <c r="EP43" s="806"/>
      <c r="EQ43" s="806"/>
      <c r="ER43" s="806"/>
      <c r="ES43" s="806"/>
      <c r="ET43" s="806"/>
      <c r="EU43" s="806"/>
      <c r="EV43" s="806"/>
      <c r="EW43" s="806"/>
      <c r="EX43" s="806"/>
      <c r="EY43" s="806"/>
      <c r="EZ43" s="806"/>
      <c r="FA43" s="806"/>
      <c r="FB43" s="806"/>
      <c r="FC43" s="806"/>
      <c r="FD43" s="806"/>
      <c r="FE43" s="806"/>
      <c r="FF43" s="806"/>
      <c r="FG43" s="806"/>
      <c r="FH43" s="806"/>
      <c r="FI43" s="806"/>
      <c r="FJ43" s="806"/>
      <c r="FK43" s="806"/>
      <c r="FL43" s="806"/>
      <c r="FM43" s="806"/>
      <c r="FN43" s="806"/>
      <c r="FO43" s="806"/>
      <c r="FP43" s="806"/>
      <c r="FQ43" s="806"/>
      <c r="FR43" s="806"/>
      <c r="FS43" s="806"/>
      <c r="FT43" s="806"/>
      <c r="FU43" s="806"/>
      <c r="FV43" s="806"/>
      <c r="FW43" s="806"/>
      <c r="FX43" s="806"/>
      <c r="FY43" s="806"/>
      <c r="FZ43" s="806"/>
      <c r="GA43" s="806"/>
      <c r="GB43" s="806"/>
      <c r="GC43" s="806"/>
      <c r="GD43" s="806"/>
      <c r="GE43" s="806"/>
      <c r="GF43" s="806"/>
      <c r="GG43" s="806"/>
      <c r="GH43" s="806"/>
      <c r="GI43" s="806"/>
      <c r="GJ43" s="806"/>
      <c r="GK43" s="806"/>
      <c r="GL43" s="806"/>
      <c r="GM43" s="806"/>
      <c r="GN43" s="806"/>
      <c r="GO43" s="806"/>
      <c r="GP43" s="806"/>
      <c r="GQ43" s="806"/>
      <c r="GR43" s="806"/>
      <c r="GS43" s="806"/>
      <c r="GT43" s="806"/>
      <c r="GU43" s="806"/>
      <c r="GV43" s="806"/>
      <c r="GW43" s="806"/>
      <c r="GX43" s="806"/>
      <c r="GY43" s="806"/>
      <c r="GZ43" s="806"/>
      <c r="HA43" s="806"/>
      <c r="HB43" s="806"/>
      <c r="HC43" s="806"/>
      <c r="HD43" s="806"/>
      <c r="HE43" s="806"/>
      <c r="HF43" s="806"/>
      <c r="HG43" s="806"/>
      <c r="HH43" s="806"/>
      <c r="HI43" s="806"/>
      <c r="HJ43" s="806"/>
      <c r="HK43" s="806"/>
      <c r="HL43" s="806"/>
      <c r="HM43" s="806"/>
      <c r="HN43" s="806"/>
      <c r="HO43" s="806"/>
      <c r="HP43" s="806"/>
      <c r="HQ43" s="806"/>
      <c r="HR43" s="806"/>
      <c r="HS43" s="806"/>
      <c r="HT43" s="806"/>
      <c r="HU43" s="806"/>
      <c r="HV43" s="806"/>
      <c r="HW43" s="806"/>
      <c r="HX43" s="806"/>
      <c r="HY43" s="806"/>
      <c r="HZ43" s="806"/>
      <c r="IA43" s="806"/>
      <c r="IB43" s="806"/>
      <c r="IC43" s="806"/>
      <c r="ID43" s="806"/>
      <c r="IE43" s="806"/>
      <c r="IF43" s="806"/>
      <c r="IG43" s="806"/>
      <c r="IH43" s="806"/>
      <c r="II43" s="806"/>
      <c r="IJ43" s="806"/>
      <c r="IK43" s="806"/>
      <c r="IL43" s="806"/>
      <c r="IM43" s="806"/>
      <c r="IN43" s="806"/>
      <c r="IO43" s="806"/>
      <c r="IP43" s="806"/>
      <c r="IQ43" s="806"/>
      <c r="IR43" s="806"/>
      <c r="IS43" s="806"/>
      <c r="IT43" s="806"/>
      <c r="IU43" s="806"/>
      <c r="IV43" s="806"/>
    </row>
    <row r="44" spans="1:256" ht="18" customHeight="1">
      <c r="A44" s="806" t="s">
        <v>1335</v>
      </c>
      <c r="B44" s="806"/>
      <c r="C44" s="806"/>
      <c r="D44" s="2802">
        <v>0</v>
      </c>
      <c r="E44" s="2799"/>
      <c r="F44" s="2802">
        <v>0</v>
      </c>
      <c r="G44" s="2799"/>
      <c r="H44" s="2802">
        <v>0</v>
      </c>
      <c r="I44" s="2799"/>
      <c r="J44" s="2802">
        <v>0</v>
      </c>
      <c r="K44" s="2800"/>
      <c r="L44" s="2803">
        <f t="shared" si="0"/>
        <v>0</v>
      </c>
      <c r="M44" s="813"/>
      <c r="N44" s="806"/>
      <c r="O44" s="819"/>
      <c r="P44" s="819"/>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6"/>
      <c r="BA44" s="806"/>
      <c r="BB44" s="806"/>
      <c r="BC44" s="806"/>
      <c r="BD44" s="806"/>
      <c r="BE44" s="806"/>
      <c r="BF44" s="806"/>
      <c r="BG44" s="806"/>
      <c r="BH44" s="806"/>
      <c r="BI44" s="806"/>
      <c r="BJ44" s="806"/>
      <c r="BK44" s="806"/>
      <c r="BL44" s="806"/>
      <c r="BM44" s="806"/>
      <c r="BN44" s="806"/>
      <c r="BO44" s="806"/>
      <c r="BP44" s="806"/>
      <c r="BQ44" s="806"/>
      <c r="BR44" s="806"/>
      <c r="BS44" s="806"/>
      <c r="BT44" s="806"/>
      <c r="BU44" s="806"/>
      <c r="BV44" s="806"/>
      <c r="BW44" s="806"/>
      <c r="BX44" s="806"/>
      <c r="BY44" s="806"/>
      <c r="BZ44" s="806"/>
      <c r="CA44" s="806"/>
      <c r="CB44" s="806"/>
      <c r="CC44" s="806"/>
      <c r="CD44" s="806"/>
      <c r="CE44" s="806"/>
      <c r="CF44" s="806"/>
      <c r="CG44" s="806"/>
      <c r="CH44" s="806"/>
      <c r="CI44" s="806"/>
      <c r="CJ44" s="806"/>
      <c r="CK44" s="806"/>
      <c r="CL44" s="806"/>
      <c r="CM44" s="806"/>
      <c r="CN44" s="806"/>
      <c r="CO44" s="806"/>
      <c r="CP44" s="806"/>
      <c r="CQ44" s="806"/>
      <c r="CR44" s="806"/>
      <c r="CS44" s="806"/>
      <c r="CT44" s="806"/>
      <c r="CU44" s="806"/>
      <c r="CV44" s="806"/>
      <c r="CW44" s="806"/>
      <c r="CX44" s="806"/>
      <c r="CY44" s="806"/>
      <c r="CZ44" s="806"/>
      <c r="DA44" s="806"/>
      <c r="DB44" s="806"/>
      <c r="DC44" s="806"/>
      <c r="DD44" s="806"/>
      <c r="DE44" s="806"/>
      <c r="DF44" s="806"/>
      <c r="DG44" s="806"/>
      <c r="DH44" s="806"/>
      <c r="DI44" s="806"/>
      <c r="DJ44" s="806"/>
      <c r="DK44" s="806"/>
      <c r="DL44" s="806"/>
      <c r="DM44" s="806"/>
      <c r="DN44" s="806"/>
      <c r="DO44" s="806"/>
      <c r="DP44" s="806"/>
      <c r="DQ44" s="806"/>
      <c r="DR44" s="806"/>
      <c r="DS44" s="806"/>
      <c r="DT44" s="806"/>
      <c r="DU44" s="806"/>
      <c r="DV44" s="806"/>
      <c r="DW44" s="806"/>
      <c r="DX44" s="806"/>
      <c r="DY44" s="806"/>
      <c r="DZ44" s="806"/>
      <c r="EA44" s="806"/>
      <c r="EB44" s="806"/>
      <c r="EC44" s="806"/>
      <c r="ED44" s="806"/>
      <c r="EE44" s="806"/>
      <c r="EF44" s="806"/>
      <c r="EG44" s="806"/>
      <c r="EH44" s="806"/>
      <c r="EI44" s="806"/>
      <c r="EJ44" s="806"/>
      <c r="EK44" s="806"/>
      <c r="EL44" s="806"/>
      <c r="EM44" s="806"/>
      <c r="EN44" s="806"/>
      <c r="EO44" s="806"/>
      <c r="EP44" s="806"/>
      <c r="EQ44" s="806"/>
      <c r="ER44" s="806"/>
      <c r="ES44" s="806"/>
      <c r="ET44" s="806"/>
      <c r="EU44" s="806"/>
      <c r="EV44" s="806"/>
      <c r="EW44" s="806"/>
      <c r="EX44" s="806"/>
      <c r="EY44" s="806"/>
      <c r="EZ44" s="806"/>
      <c r="FA44" s="806"/>
      <c r="FB44" s="806"/>
      <c r="FC44" s="806"/>
      <c r="FD44" s="806"/>
      <c r="FE44" s="806"/>
      <c r="FF44" s="806"/>
      <c r="FG44" s="806"/>
      <c r="FH44" s="806"/>
      <c r="FI44" s="806"/>
      <c r="FJ44" s="806"/>
      <c r="FK44" s="806"/>
      <c r="FL44" s="806"/>
      <c r="FM44" s="806"/>
      <c r="FN44" s="806"/>
      <c r="FO44" s="806"/>
      <c r="FP44" s="806"/>
      <c r="FQ44" s="806"/>
      <c r="FR44" s="806"/>
      <c r="FS44" s="806"/>
      <c r="FT44" s="806"/>
      <c r="FU44" s="806"/>
      <c r="FV44" s="806"/>
      <c r="FW44" s="806"/>
      <c r="FX44" s="806"/>
      <c r="FY44" s="806"/>
      <c r="FZ44" s="806"/>
      <c r="GA44" s="806"/>
      <c r="GB44" s="806"/>
      <c r="GC44" s="806"/>
      <c r="GD44" s="806"/>
      <c r="GE44" s="806"/>
      <c r="GF44" s="806"/>
      <c r="GG44" s="806"/>
      <c r="GH44" s="806"/>
      <c r="GI44" s="806"/>
      <c r="GJ44" s="806"/>
      <c r="GK44" s="806"/>
      <c r="GL44" s="806"/>
      <c r="GM44" s="806"/>
      <c r="GN44" s="806"/>
      <c r="GO44" s="806"/>
      <c r="GP44" s="806"/>
      <c r="GQ44" s="806"/>
      <c r="GR44" s="806"/>
      <c r="GS44" s="806"/>
      <c r="GT44" s="806"/>
      <c r="GU44" s="806"/>
      <c r="GV44" s="806"/>
      <c r="GW44" s="806"/>
      <c r="GX44" s="806"/>
      <c r="GY44" s="806"/>
      <c r="GZ44" s="806"/>
      <c r="HA44" s="806"/>
      <c r="HB44" s="806"/>
      <c r="HC44" s="806"/>
      <c r="HD44" s="806"/>
      <c r="HE44" s="806"/>
      <c r="HF44" s="806"/>
      <c r="HG44" s="806"/>
      <c r="HH44" s="806"/>
      <c r="HI44" s="806"/>
      <c r="HJ44" s="806"/>
      <c r="HK44" s="806"/>
      <c r="HL44" s="806"/>
      <c r="HM44" s="806"/>
      <c r="HN44" s="806"/>
      <c r="HO44" s="806"/>
      <c r="HP44" s="806"/>
      <c r="HQ44" s="806"/>
      <c r="HR44" s="806"/>
      <c r="HS44" s="806"/>
      <c r="HT44" s="806"/>
      <c r="HU44" s="806"/>
      <c r="HV44" s="806"/>
      <c r="HW44" s="806"/>
      <c r="HX44" s="806"/>
      <c r="HY44" s="806"/>
      <c r="HZ44" s="806"/>
      <c r="IA44" s="806"/>
      <c r="IB44" s="806"/>
      <c r="IC44" s="806"/>
      <c r="ID44" s="806"/>
      <c r="IE44" s="806"/>
      <c r="IF44" s="806"/>
      <c r="IG44" s="806"/>
      <c r="IH44" s="806"/>
      <c r="II44" s="806"/>
      <c r="IJ44" s="806"/>
      <c r="IK44" s="806"/>
      <c r="IL44" s="806"/>
      <c r="IM44" s="806"/>
      <c r="IN44" s="806"/>
      <c r="IO44" s="806"/>
      <c r="IP44" s="806"/>
      <c r="IQ44" s="806"/>
      <c r="IR44" s="806"/>
      <c r="IS44" s="806"/>
      <c r="IT44" s="806"/>
      <c r="IU44" s="806"/>
      <c r="IV44" s="806"/>
    </row>
    <row r="45" spans="1:256" ht="17.25" customHeight="1">
      <c r="A45" s="802" t="s">
        <v>1326</v>
      </c>
      <c r="B45" s="806"/>
      <c r="C45" s="806"/>
      <c r="D45" s="1231">
        <f>ROUND(SUM(D28:D44),3)</f>
        <v>3298.8989999999999</v>
      </c>
      <c r="E45" s="1223"/>
      <c r="F45" s="1231">
        <f>ROUND(SUM(F28:F44),3)</f>
        <v>7272.3689999999997</v>
      </c>
      <c r="G45" s="1223"/>
      <c r="H45" s="1231">
        <f>ROUND(SUM(H28:H44),3)</f>
        <v>7538.9549999999999</v>
      </c>
      <c r="I45" s="1223"/>
      <c r="J45" s="1231">
        <f>ROUND(SUM(J28:J44),3)</f>
        <v>-96</v>
      </c>
      <c r="K45" s="1223"/>
      <c r="L45" s="1231">
        <f>ROUND(SUM(L28:L44),3)</f>
        <v>2936.3130000000001</v>
      </c>
      <c r="M45" s="814"/>
      <c r="N45" s="701"/>
      <c r="O45" s="817"/>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6"/>
      <c r="BA45" s="806"/>
      <c r="BB45" s="806"/>
      <c r="BC45" s="806"/>
      <c r="BD45" s="806"/>
      <c r="BE45" s="806"/>
      <c r="BF45" s="806"/>
      <c r="BG45" s="806"/>
      <c r="BH45" s="806"/>
      <c r="BI45" s="806"/>
      <c r="BJ45" s="806"/>
      <c r="BK45" s="806"/>
      <c r="BL45" s="806"/>
      <c r="BM45" s="806"/>
      <c r="BN45" s="806"/>
      <c r="BO45" s="806"/>
      <c r="BP45" s="806"/>
      <c r="BQ45" s="806"/>
      <c r="BR45" s="806"/>
      <c r="BS45" s="806"/>
      <c r="BT45" s="806"/>
      <c r="BU45" s="806"/>
      <c r="BV45" s="806"/>
      <c r="BW45" s="806"/>
      <c r="BX45" s="806"/>
      <c r="BY45" s="806"/>
      <c r="BZ45" s="806"/>
      <c r="CA45" s="806"/>
      <c r="CB45" s="806"/>
      <c r="CC45" s="806"/>
      <c r="CD45" s="806"/>
      <c r="CE45" s="806"/>
      <c r="CF45" s="806"/>
      <c r="CG45" s="806"/>
      <c r="CH45" s="806"/>
      <c r="CI45" s="806"/>
      <c r="CJ45" s="806"/>
      <c r="CK45" s="806"/>
      <c r="CL45" s="806"/>
      <c r="CM45" s="806"/>
      <c r="CN45" s="806"/>
      <c r="CO45" s="806"/>
      <c r="CP45" s="806"/>
      <c r="CQ45" s="806"/>
      <c r="CR45" s="806"/>
      <c r="CS45" s="806"/>
      <c r="CT45" s="806"/>
      <c r="CU45" s="806"/>
      <c r="CV45" s="806"/>
      <c r="CW45" s="806"/>
      <c r="CX45" s="806"/>
      <c r="CY45" s="806"/>
      <c r="CZ45" s="806"/>
      <c r="DA45" s="806"/>
      <c r="DB45" s="806"/>
      <c r="DC45" s="806"/>
      <c r="DD45" s="806"/>
      <c r="DE45" s="806"/>
      <c r="DF45" s="806"/>
      <c r="DG45" s="806"/>
      <c r="DH45" s="806"/>
      <c r="DI45" s="806"/>
      <c r="DJ45" s="806"/>
      <c r="DK45" s="806"/>
      <c r="DL45" s="806"/>
      <c r="DM45" s="806"/>
      <c r="DN45" s="806"/>
      <c r="DO45" s="806"/>
      <c r="DP45" s="806"/>
      <c r="DQ45" s="806"/>
      <c r="DR45" s="806"/>
      <c r="DS45" s="806"/>
      <c r="DT45" s="806"/>
      <c r="DU45" s="806"/>
      <c r="DV45" s="806"/>
      <c r="DW45" s="806"/>
      <c r="DX45" s="806"/>
      <c r="DY45" s="806"/>
      <c r="DZ45" s="806"/>
      <c r="EA45" s="806"/>
      <c r="EB45" s="806"/>
      <c r="EC45" s="806"/>
      <c r="ED45" s="806"/>
      <c r="EE45" s="806"/>
      <c r="EF45" s="806"/>
      <c r="EG45" s="806"/>
      <c r="EH45" s="806"/>
      <c r="EI45" s="806"/>
      <c r="EJ45" s="806"/>
      <c r="EK45" s="806"/>
      <c r="EL45" s="806"/>
      <c r="EM45" s="806"/>
      <c r="EN45" s="806"/>
      <c r="EO45" s="806"/>
      <c r="EP45" s="806"/>
      <c r="EQ45" s="806"/>
      <c r="ER45" s="806"/>
      <c r="ES45" s="806"/>
      <c r="ET45" s="806"/>
      <c r="EU45" s="806"/>
      <c r="EV45" s="806"/>
      <c r="EW45" s="806"/>
      <c r="EX45" s="806"/>
      <c r="EY45" s="806"/>
      <c r="EZ45" s="806"/>
      <c r="FA45" s="806"/>
      <c r="FB45" s="806"/>
      <c r="FC45" s="806"/>
      <c r="FD45" s="806"/>
      <c r="FE45" s="806"/>
      <c r="FF45" s="806"/>
      <c r="FG45" s="806"/>
      <c r="FH45" s="806"/>
      <c r="FI45" s="806"/>
      <c r="FJ45" s="806"/>
      <c r="FK45" s="806"/>
      <c r="FL45" s="806"/>
      <c r="FM45" s="806"/>
      <c r="FN45" s="806"/>
      <c r="FO45" s="806"/>
      <c r="FP45" s="806"/>
      <c r="FQ45" s="806"/>
      <c r="FR45" s="806"/>
      <c r="FS45" s="806"/>
      <c r="FT45" s="806"/>
      <c r="FU45" s="806"/>
      <c r="FV45" s="806"/>
      <c r="FW45" s="806"/>
      <c r="FX45" s="806"/>
      <c r="FY45" s="806"/>
      <c r="FZ45" s="806"/>
      <c r="GA45" s="806"/>
      <c r="GB45" s="806"/>
      <c r="GC45" s="806"/>
      <c r="GD45" s="806"/>
      <c r="GE45" s="806"/>
      <c r="GF45" s="806"/>
      <c r="GG45" s="806"/>
      <c r="GH45" s="806"/>
      <c r="GI45" s="806"/>
      <c r="GJ45" s="806"/>
      <c r="GK45" s="806"/>
      <c r="GL45" s="806"/>
      <c r="GM45" s="806"/>
      <c r="GN45" s="806"/>
      <c r="GO45" s="806"/>
      <c r="GP45" s="806"/>
      <c r="GQ45" s="806"/>
      <c r="GR45" s="806"/>
      <c r="GS45" s="806"/>
      <c r="GT45" s="806"/>
      <c r="GU45" s="806"/>
      <c r="GV45" s="806"/>
      <c r="GW45" s="806"/>
      <c r="GX45" s="806"/>
      <c r="GY45" s="806"/>
      <c r="GZ45" s="806"/>
      <c r="HA45" s="806"/>
      <c r="HB45" s="806"/>
      <c r="HC45" s="806"/>
      <c r="HD45" s="806"/>
      <c r="HE45" s="806"/>
      <c r="HF45" s="806"/>
      <c r="HG45" s="806"/>
      <c r="HH45" s="806"/>
      <c r="HI45" s="806"/>
      <c r="HJ45" s="806"/>
      <c r="HK45" s="806"/>
      <c r="HL45" s="806"/>
      <c r="HM45" s="806"/>
      <c r="HN45" s="806"/>
      <c r="HO45" s="806"/>
      <c r="HP45" s="806"/>
      <c r="HQ45" s="806"/>
      <c r="HR45" s="806"/>
      <c r="HS45" s="806"/>
      <c r="HT45" s="806"/>
      <c r="HU45" s="806"/>
      <c r="HV45" s="806"/>
      <c r="HW45" s="806"/>
      <c r="HX45" s="806"/>
      <c r="HY45" s="806"/>
      <c r="HZ45" s="806"/>
      <c r="IA45" s="806"/>
      <c r="IB45" s="806"/>
      <c r="IC45" s="806"/>
      <c r="ID45" s="806"/>
      <c r="IE45" s="806"/>
      <c r="IF45" s="806"/>
      <c r="IG45" s="806"/>
      <c r="IH45" s="806"/>
      <c r="II45" s="806"/>
      <c r="IJ45" s="806"/>
      <c r="IK45" s="806"/>
      <c r="IL45" s="806"/>
      <c r="IM45" s="806"/>
      <c r="IN45" s="806"/>
      <c r="IO45" s="806"/>
      <c r="IP45" s="806"/>
      <c r="IQ45" s="806"/>
      <c r="IR45" s="806"/>
      <c r="IS45" s="806"/>
      <c r="IT45" s="806"/>
      <c r="IU45" s="806"/>
      <c r="IV45" s="806"/>
    </row>
    <row r="46" spans="1:256" ht="12" customHeight="1">
      <c r="A46" s="802"/>
      <c r="B46" s="806"/>
      <c r="C46" s="806"/>
      <c r="D46" s="1225" t="s">
        <v>15</v>
      </c>
      <c r="E46" s="781"/>
      <c r="F46" s="1225" t="s">
        <v>15</v>
      </c>
      <c r="G46" s="781"/>
      <c r="H46" s="1225" t="s">
        <v>15</v>
      </c>
      <c r="I46" s="781"/>
      <c r="J46" s="783" t="s">
        <v>15</v>
      </c>
      <c r="K46" s="781"/>
      <c r="L46" s="1225" t="s">
        <v>15</v>
      </c>
      <c r="M46" s="813"/>
      <c r="N46" s="806"/>
      <c r="O46" s="819"/>
      <c r="P46" s="819"/>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806"/>
      <c r="BF46" s="806"/>
      <c r="BG46" s="806"/>
      <c r="BH46" s="806"/>
      <c r="BI46" s="806"/>
      <c r="BJ46" s="806"/>
      <c r="BK46" s="806"/>
      <c r="BL46" s="806"/>
      <c r="BM46" s="806"/>
      <c r="BN46" s="806"/>
      <c r="BO46" s="806"/>
      <c r="BP46" s="806"/>
      <c r="BQ46" s="806"/>
      <c r="BR46" s="806"/>
      <c r="BS46" s="806"/>
      <c r="BT46" s="806"/>
      <c r="BU46" s="806"/>
      <c r="BV46" s="806"/>
      <c r="BW46" s="806"/>
      <c r="BX46" s="806"/>
      <c r="BY46" s="806"/>
      <c r="BZ46" s="806"/>
      <c r="CA46" s="806"/>
      <c r="CB46" s="806"/>
      <c r="CC46" s="806"/>
      <c r="CD46" s="806"/>
      <c r="CE46" s="806"/>
      <c r="CF46" s="806"/>
      <c r="CG46" s="806"/>
      <c r="CH46" s="806"/>
      <c r="CI46" s="806"/>
      <c r="CJ46" s="806"/>
      <c r="CK46" s="806"/>
      <c r="CL46" s="806"/>
      <c r="CM46" s="806"/>
      <c r="CN46" s="806"/>
      <c r="CO46" s="806"/>
      <c r="CP46" s="806"/>
      <c r="CQ46" s="806"/>
      <c r="CR46" s="806"/>
      <c r="CS46" s="806"/>
      <c r="CT46" s="806"/>
      <c r="CU46" s="806"/>
      <c r="CV46" s="806"/>
      <c r="CW46" s="806"/>
      <c r="CX46" s="806"/>
      <c r="CY46" s="806"/>
      <c r="CZ46" s="806"/>
      <c r="DA46" s="806"/>
      <c r="DB46" s="806"/>
      <c r="DC46" s="806"/>
      <c r="DD46" s="806"/>
      <c r="DE46" s="806"/>
      <c r="DF46" s="806"/>
      <c r="DG46" s="806"/>
      <c r="DH46" s="806"/>
      <c r="DI46" s="806"/>
      <c r="DJ46" s="806"/>
      <c r="DK46" s="806"/>
      <c r="DL46" s="806"/>
      <c r="DM46" s="806"/>
      <c r="DN46" s="806"/>
      <c r="DO46" s="806"/>
      <c r="DP46" s="806"/>
      <c r="DQ46" s="806"/>
      <c r="DR46" s="806"/>
      <c r="DS46" s="806"/>
      <c r="DT46" s="806"/>
      <c r="DU46" s="806"/>
      <c r="DV46" s="806"/>
      <c r="DW46" s="806"/>
      <c r="DX46" s="806"/>
      <c r="DY46" s="806"/>
      <c r="DZ46" s="806"/>
      <c r="EA46" s="806"/>
      <c r="EB46" s="806"/>
      <c r="EC46" s="806"/>
      <c r="ED46" s="806"/>
      <c r="EE46" s="806"/>
      <c r="EF46" s="806"/>
      <c r="EG46" s="806"/>
      <c r="EH46" s="806"/>
      <c r="EI46" s="806"/>
      <c r="EJ46" s="806"/>
      <c r="EK46" s="806"/>
      <c r="EL46" s="806"/>
      <c r="EM46" s="806"/>
      <c r="EN46" s="806"/>
      <c r="EO46" s="806"/>
      <c r="EP46" s="806"/>
      <c r="EQ46" s="806"/>
      <c r="ER46" s="806"/>
      <c r="ES46" s="806"/>
      <c r="ET46" s="806"/>
      <c r="EU46" s="806"/>
      <c r="EV46" s="806"/>
      <c r="EW46" s="806"/>
      <c r="EX46" s="806"/>
      <c r="EY46" s="806"/>
      <c r="EZ46" s="806"/>
      <c r="FA46" s="806"/>
      <c r="FB46" s="806"/>
      <c r="FC46" s="806"/>
      <c r="FD46" s="806"/>
      <c r="FE46" s="806"/>
      <c r="FF46" s="806"/>
      <c r="FG46" s="806"/>
      <c r="FH46" s="806"/>
      <c r="FI46" s="806"/>
      <c r="FJ46" s="806"/>
      <c r="FK46" s="806"/>
      <c r="FL46" s="806"/>
      <c r="FM46" s="806"/>
      <c r="FN46" s="806"/>
      <c r="FO46" s="806"/>
      <c r="FP46" s="806"/>
      <c r="FQ46" s="806"/>
      <c r="FR46" s="806"/>
      <c r="FS46" s="806"/>
      <c r="FT46" s="806"/>
      <c r="FU46" s="806"/>
      <c r="FV46" s="806"/>
      <c r="FW46" s="806"/>
      <c r="FX46" s="806"/>
      <c r="FY46" s="806"/>
      <c r="FZ46" s="806"/>
      <c r="GA46" s="806"/>
      <c r="GB46" s="806"/>
      <c r="GC46" s="806"/>
      <c r="GD46" s="806"/>
      <c r="GE46" s="806"/>
      <c r="GF46" s="806"/>
      <c r="GG46" s="806"/>
      <c r="GH46" s="806"/>
      <c r="GI46" s="806"/>
      <c r="GJ46" s="806"/>
      <c r="GK46" s="806"/>
      <c r="GL46" s="806"/>
      <c r="GM46" s="806"/>
      <c r="GN46" s="806"/>
      <c r="GO46" s="806"/>
      <c r="GP46" s="806"/>
      <c r="GQ46" s="806"/>
      <c r="GR46" s="806"/>
      <c r="GS46" s="806"/>
      <c r="GT46" s="806"/>
      <c r="GU46" s="806"/>
      <c r="GV46" s="806"/>
      <c r="GW46" s="806"/>
      <c r="GX46" s="806"/>
      <c r="GY46" s="806"/>
      <c r="GZ46" s="806"/>
      <c r="HA46" s="806"/>
      <c r="HB46" s="806"/>
      <c r="HC46" s="806"/>
      <c r="HD46" s="806"/>
      <c r="HE46" s="806"/>
      <c r="HF46" s="806"/>
      <c r="HG46" s="806"/>
      <c r="HH46" s="806"/>
      <c r="HI46" s="806"/>
      <c r="HJ46" s="806"/>
      <c r="HK46" s="806"/>
      <c r="HL46" s="806"/>
      <c r="HM46" s="806"/>
      <c r="HN46" s="806"/>
      <c r="HO46" s="806"/>
      <c r="HP46" s="806"/>
      <c r="HQ46" s="806"/>
      <c r="HR46" s="806"/>
      <c r="HS46" s="806"/>
      <c r="HT46" s="806"/>
      <c r="HU46" s="806"/>
      <c r="HV46" s="806"/>
      <c r="HW46" s="806"/>
      <c r="HX46" s="806"/>
      <c r="HY46" s="806"/>
      <c r="HZ46" s="806"/>
      <c r="IA46" s="806"/>
      <c r="IB46" s="806"/>
      <c r="IC46" s="806"/>
      <c r="ID46" s="806"/>
      <c r="IE46" s="806"/>
      <c r="IF46" s="806"/>
      <c r="IG46" s="806"/>
      <c r="IH46" s="806"/>
      <c r="II46" s="806"/>
      <c r="IJ46" s="806"/>
      <c r="IK46" s="806"/>
      <c r="IL46" s="806"/>
      <c r="IM46" s="806"/>
      <c r="IN46" s="806"/>
      <c r="IO46" s="806"/>
      <c r="IP46" s="806"/>
      <c r="IQ46" s="806"/>
      <c r="IR46" s="806"/>
      <c r="IS46" s="806"/>
      <c r="IT46" s="806"/>
      <c r="IU46" s="806"/>
      <c r="IV46" s="806"/>
    </row>
    <row r="47" spans="1:256" ht="3" customHeight="1">
      <c r="A47" s="802"/>
      <c r="B47" s="806"/>
      <c r="C47" s="806"/>
      <c r="D47" s="1232"/>
      <c r="E47" s="1232"/>
      <c r="F47" s="1232"/>
      <c r="G47" s="1232"/>
      <c r="H47" s="1232"/>
      <c r="I47" s="1232"/>
      <c r="J47" s="1232"/>
      <c r="K47" s="1232"/>
      <c r="L47" s="1232"/>
      <c r="M47" s="813"/>
      <c r="N47" s="806"/>
      <c r="O47" s="819"/>
      <c r="P47" s="819"/>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6"/>
      <c r="BA47" s="806"/>
      <c r="BB47" s="806"/>
      <c r="BC47" s="806"/>
      <c r="BD47" s="806"/>
      <c r="BE47" s="806"/>
      <c r="BF47" s="806"/>
      <c r="BG47" s="806"/>
      <c r="BH47" s="806"/>
      <c r="BI47" s="806"/>
      <c r="BJ47" s="806"/>
      <c r="BK47" s="806"/>
      <c r="BL47" s="806"/>
      <c r="BM47" s="806"/>
      <c r="BN47" s="806"/>
      <c r="BO47" s="806"/>
      <c r="BP47" s="806"/>
      <c r="BQ47" s="806"/>
      <c r="BR47" s="806"/>
      <c r="BS47" s="806"/>
      <c r="BT47" s="806"/>
      <c r="BU47" s="806"/>
      <c r="BV47" s="806"/>
      <c r="BW47" s="806"/>
      <c r="BX47" s="806"/>
      <c r="BY47" s="806"/>
      <c r="BZ47" s="806"/>
      <c r="CA47" s="806"/>
      <c r="CB47" s="806"/>
      <c r="CC47" s="806"/>
      <c r="CD47" s="806"/>
      <c r="CE47" s="806"/>
      <c r="CF47" s="806"/>
      <c r="CG47" s="806"/>
      <c r="CH47" s="806"/>
      <c r="CI47" s="806"/>
      <c r="CJ47" s="806"/>
      <c r="CK47" s="806"/>
      <c r="CL47" s="806"/>
      <c r="CM47" s="806"/>
      <c r="CN47" s="806"/>
      <c r="CO47" s="806"/>
      <c r="CP47" s="806"/>
      <c r="CQ47" s="806"/>
      <c r="CR47" s="806"/>
      <c r="CS47" s="806"/>
      <c r="CT47" s="806"/>
      <c r="CU47" s="806"/>
      <c r="CV47" s="806"/>
      <c r="CW47" s="806"/>
      <c r="CX47" s="806"/>
      <c r="CY47" s="806"/>
      <c r="CZ47" s="806"/>
      <c r="DA47" s="806"/>
      <c r="DB47" s="806"/>
      <c r="DC47" s="806"/>
      <c r="DD47" s="806"/>
      <c r="DE47" s="806"/>
      <c r="DF47" s="806"/>
      <c r="DG47" s="806"/>
      <c r="DH47" s="806"/>
      <c r="DI47" s="806"/>
      <c r="DJ47" s="806"/>
      <c r="DK47" s="806"/>
      <c r="DL47" s="806"/>
      <c r="DM47" s="806"/>
      <c r="DN47" s="806"/>
      <c r="DO47" s="806"/>
      <c r="DP47" s="806"/>
      <c r="DQ47" s="806"/>
      <c r="DR47" s="806"/>
      <c r="DS47" s="806"/>
      <c r="DT47" s="806"/>
      <c r="DU47" s="806"/>
      <c r="DV47" s="806"/>
      <c r="DW47" s="806"/>
      <c r="DX47" s="806"/>
      <c r="DY47" s="806"/>
      <c r="DZ47" s="806"/>
      <c r="EA47" s="806"/>
      <c r="EB47" s="806"/>
      <c r="EC47" s="806"/>
      <c r="ED47" s="806"/>
      <c r="EE47" s="806"/>
      <c r="EF47" s="806"/>
      <c r="EG47" s="806"/>
      <c r="EH47" s="806"/>
      <c r="EI47" s="806"/>
      <c r="EJ47" s="806"/>
      <c r="EK47" s="806"/>
      <c r="EL47" s="806"/>
      <c r="EM47" s="806"/>
      <c r="EN47" s="806"/>
      <c r="EO47" s="806"/>
      <c r="EP47" s="806"/>
      <c r="EQ47" s="806"/>
      <c r="ER47" s="806"/>
      <c r="ES47" s="806"/>
      <c r="ET47" s="806"/>
      <c r="EU47" s="806"/>
      <c r="EV47" s="806"/>
      <c r="EW47" s="806"/>
      <c r="EX47" s="806"/>
      <c r="EY47" s="806"/>
      <c r="EZ47" s="806"/>
      <c r="FA47" s="806"/>
      <c r="FB47" s="806"/>
      <c r="FC47" s="806"/>
      <c r="FD47" s="806"/>
      <c r="FE47" s="806"/>
      <c r="FF47" s="806"/>
      <c r="FG47" s="806"/>
      <c r="FH47" s="806"/>
      <c r="FI47" s="806"/>
      <c r="FJ47" s="806"/>
      <c r="FK47" s="806"/>
      <c r="FL47" s="806"/>
      <c r="FM47" s="806"/>
      <c r="FN47" s="806"/>
      <c r="FO47" s="806"/>
      <c r="FP47" s="806"/>
      <c r="FQ47" s="806"/>
      <c r="FR47" s="806"/>
      <c r="FS47" s="806"/>
      <c r="FT47" s="806"/>
      <c r="FU47" s="806"/>
      <c r="FV47" s="806"/>
      <c r="FW47" s="806"/>
      <c r="FX47" s="806"/>
      <c r="FY47" s="806"/>
      <c r="FZ47" s="806"/>
      <c r="GA47" s="806"/>
      <c r="GB47" s="806"/>
      <c r="GC47" s="806"/>
      <c r="GD47" s="806"/>
      <c r="GE47" s="806"/>
      <c r="GF47" s="806"/>
      <c r="GG47" s="806"/>
      <c r="GH47" s="806"/>
      <c r="GI47" s="806"/>
      <c r="GJ47" s="806"/>
      <c r="GK47" s="806"/>
      <c r="GL47" s="806"/>
      <c r="GM47" s="806"/>
      <c r="GN47" s="806"/>
      <c r="GO47" s="806"/>
      <c r="GP47" s="806"/>
      <c r="GQ47" s="806"/>
      <c r="GR47" s="806"/>
      <c r="GS47" s="806"/>
      <c r="GT47" s="806"/>
      <c r="GU47" s="806"/>
      <c r="GV47" s="806"/>
      <c r="GW47" s="806"/>
      <c r="GX47" s="806"/>
      <c r="GY47" s="806"/>
      <c r="GZ47" s="806"/>
      <c r="HA47" s="806"/>
      <c r="HB47" s="806"/>
      <c r="HC47" s="806"/>
      <c r="HD47" s="806"/>
      <c r="HE47" s="806"/>
      <c r="HF47" s="806"/>
      <c r="HG47" s="806"/>
      <c r="HH47" s="806"/>
      <c r="HI47" s="806"/>
      <c r="HJ47" s="806"/>
      <c r="HK47" s="806"/>
      <c r="HL47" s="806"/>
      <c r="HM47" s="806"/>
      <c r="HN47" s="806"/>
      <c r="HO47" s="806"/>
      <c r="HP47" s="806"/>
      <c r="HQ47" s="806"/>
      <c r="HR47" s="806"/>
      <c r="HS47" s="806"/>
      <c r="HT47" s="806"/>
      <c r="HU47" s="806"/>
      <c r="HV47" s="806"/>
      <c r="HW47" s="806"/>
      <c r="HX47" s="806"/>
      <c r="HY47" s="806"/>
      <c r="HZ47" s="806"/>
      <c r="IA47" s="806"/>
      <c r="IB47" s="806"/>
      <c r="IC47" s="806"/>
      <c r="ID47" s="806"/>
      <c r="IE47" s="806"/>
      <c r="IF47" s="806"/>
      <c r="IG47" s="806"/>
      <c r="IH47" s="806"/>
      <c r="II47" s="806"/>
      <c r="IJ47" s="806"/>
      <c r="IK47" s="806"/>
      <c r="IL47" s="806"/>
      <c r="IM47" s="806"/>
      <c r="IN47" s="806"/>
      <c r="IO47" s="806"/>
      <c r="IP47" s="806"/>
      <c r="IQ47" s="806"/>
      <c r="IR47" s="806"/>
      <c r="IS47" s="806"/>
      <c r="IT47" s="806"/>
      <c r="IU47" s="806"/>
      <c r="IV47" s="806"/>
    </row>
    <row r="48" spans="1:256" ht="18.75" thickBot="1">
      <c r="A48" s="802" t="s">
        <v>1327</v>
      </c>
      <c r="B48" s="806"/>
      <c r="C48" s="824"/>
      <c r="D48" s="1233">
        <f>ROUND(D17+D24+D45,3)</f>
        <v>3308.7750000000001</v>
      </c>
      <c r="E48" s="1234"/>
      <c r="F48" s="1233">
        <f>ROUND(F17+F24+F45,3)</f>
        <v>7277.7740000000003</v>
      </c>
      <c r="G48" s="1234"/>
      <c r="H48" s="1233">
        <f>ROUND(H17+H24+H45,3)</f>
        <v>7544.9620000000004</v>
      </c>
      <c r="I48" s="1235"/>
      <c r="J48" s="1233">
        <f>ROUND(J17+J24+J45,3)</f>
        <v>-96</v>
      </c>
      <c r="K48" s="1234"/>
      <c r="L48" s="1233">
        <f>ROUND(L17+L24+L45,3)</f>
        <v>2945.587</v>
      </c>
      <c r="M48" s="814"/>
      <c r="N48" s="817"/>
      <c r="O48" s="819"/>
      <c r="P48" s="819"/>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6"/>
      <c r="BA48" s="806"/>
      <c r="BB48" s="806"/>
      <c r="BC48" s="806"/>
      <c r="BD48" s="806"/>
      <c r="BE48" s="806"/>
      <c r="BF48" s="806"/>
      <c r="BG48" s="806"/>
      <c r="BH48" s="806"/>
      <c r="BI48" s="806"/>
      <c r="BJ48" s="806"/>
      <c r="BK48" s="806"/>
      <c r="BL48" s="806"/>
      <c r="BM48" s="806"/>
      <c r="BN48" s="806"/>
      <c r="BO48" s="806"/>
      <c r="BP48" s="806"/>
      <c r="BQ48" s="806"/>
      <c r="BR48" s="806"/>
      <c r="BS48" s="806"/>
      <c r="BT48" s="806"/>
      <c r="BU48" s="806"/>
      <c r="BV48" s="806"/>
      <c r="BW48" s="806"/>
      <c r="BX48" s="806"/>
      <c r="BY48" s="806"/>
      <c r="BZ48" s="806"/>
      <c r="CA48" s="806"/>
      <c r="CB48" s="806"/>
      <c r="CC48" s="806"/>
      <c r="CD48" s="806"/>
      <c r="CE48" s="806"/>
      <c r="CF48" s="806"/>
      <c r="CG48" s="806"/>
      <c r="CH48" s="806"/>
      <c r="CI48" s="806"/>
      <c r="CJ48" s="806"/>
      <c r="CK48" s="806"/>
      <c r="CL48" s="806"/>
      <c r="CM48" s="806"/>
      <c r="CN48" s="806"/>
      <c r="CO48" s="806"/>
      <c r="CP48" s="806"/>
      <c r="CQ48" s="806"/>
      <c r="CR48" s="806"/>
      <c r="CS48" s="806"/>
      <c r="CT48" s="806"/>
      <c r="CU48" s="806"/>
      <c r="CV48" s="806"/>
      <c r="CW48" s="806"/>
      <c r="CX48" s="806"/>
      <c r="CY48" s="806"/>
      <c r="CZ48" s="806"/>
      <c r="DA48" s="806"/>
      <c r="DB48" s="806"/>
      <c r="DC48" s="806"/>
      <c r="DD48" s="806"/>
      <c r="DE48" s="806"/>
      <c r="DF48" s="806"/>
      <c r="DG48" s="806"/>
      <c r="DH48" s="806"/>
      <c r="DI48" s="806"/>
      <c r="DJ48" s="806"/>
      <c r="DK48" s="806"/>
      <c r="DL48" s="806"/>
      <c r="DM48" s="806"/>
      <c r="DN48" s="806"/>
      <c r="DO48" s="806"/>
      <c r="DP48" s="806"/>
      <c r="DQ48" s="806"/>
      <c r="DR48" s="806"/>
      <c r="DS48" s="806"/>
      <c r="DT48" s="806"/>
      <c r="DU48" s="806"/>
      <c r="DV48" s="806"/>
      <c r="DW48" s="806"/>
      <c r="DX48" s="806"/>
      <c r="DY48" s="806"/>
      <c r="DZ48" s="806"/>
      <c r="EA48" s="806"/>
      <c r="EB48" s="806"/>
      <c r="EC48" s="806"/>
      <c r="ED48" s="806"/>
      <c r="EE48" s="806"/>
      <c r="EF48" s="806"/>
      <c r="EG48" s="806"/>
      <c r="EH48" s="806"/>
      <c r="EI48" s="806"/>
      <c r="EJ48" s="806"/>
      <c r="EK48" s="806"/>
      <c r="EL48" s="806"/>
      <c r="EM48" s="806"/>
      <c r="EN48" s="806"/>
      <c r="EO48" s="806"/>
      <c r="EP48" s="806"/>
      <c r="EQ48" s="806"/>
      <c r="ER48" s="806"/>
      <c r="ES48" s="806"/>
      <c r="ET48" s="806"/>
      <c r="EU48" s="806"/>
      <c r="EV48" s="806"/>
      <c r="EW48" s="806"/>
      <c r="EX48" s="806"/>
      <c r="EY48" s="806"/>
      <c r="EZ48" s="806"/>
      <c r="FA48" s="806"/>
      <c r="FB48" s="806"/>
      <c r="FC48" s="806"/>
      <c r="FD48" s="806"/>
      <c r="FE48" s="806"/>
      <c r="FF48" s="806"/>
      <c r="FG48" s="806"/>
      <c r="FH48" s="806"/>
      <c r="FI48" s="806"/>
      <c r="FJ48" s="806"/>
      <c r="FK48" s="806"/>
      <c r="FL48" s="806"/>
      <c r="FM48" s="806"/>
      <c r="FN48" s="806"/>
      <c r="FO48" s="806"/>
      <c r="FP48" s="806"/>
      <c r="FQ48" s="806"/>
      <c r="FR48" s="806"/>
      <c r="FS48" s="806"/>
      <c r="FT48" s="806"/>
      <c r="FU48" s="806"/>
      <c r="FV48" s="806"/>
      <c r="FW48" s="806"/>
      <c r="FX48" s="806"/>
      <c r="FY48" s="806"/>
      <c r="FZ48" s="806"/>
      <c r="GA48" s="806"/>
      <c r="GB48" s="806"/>
      <c r="GC48" s="806"/>
      <c r="GD48" s="806"/>
      <c r="GE48" s="806"/>
      <c r="GF48" s="806"/>
      <c r="GG48" s="806"/>
      <c r="GH48" s="806"/>
      <c r="GI48" s="806"/>
      <c r="GJ48" s="806"/>
      <c r="GK48" s="806"/>
      <c r="GL48" s="806"/>
      <c r="GM48" s="806"/>
      <c r="GN48" s="806"/>
      <c r="GO48" s="806"/>
      <c r="GP48" s="806"/>
      <c r="GQ48" s="806"/>
      <c r="GR48" s="806"/>
      <c r="GS48" s="806"/>
      <c r="GT48" s="806"/>
      <c r="GU48" s="806"/>
      <c r="GV48" s="806"/>
      <c r="GW48" s="806"/>
      <c r="GX48" s="806"/>
      <c r="GY48" s="806"/>
      <c r="GZ48" s="806"/>
      <c r="HA48" s="806"/>
      <c r="HB48" s="806"/>
      <c r="HC48" s="806"/>
      <c r="HD48" s="806"/>
      <c r="HE48" s="806"/>
      <c r="HF48" s="806"/>
      <c r="HG48" s="806"/>
      <c r="HH48" s="806"/>
      <c r="HI48" s="806"/>
      <c r="HJ48" s="806"/>
      <c r="HK48" s="806"/>
      <c r="HL48" s="806"/>
      <c r="HM48" s="806"/>
      <c r="HN48" s="806"/>
      <c r="HO48" s="806"/>
      <c r="HP48" s="806"/>
      <c r="HQ48" s="806"/>
      <c r="HR48" s="806"/>
      <c r="HS48" s="806"/>
      <c r="HT48" s="806"/>
      <c r="HU48" s="806"/>
      <c r="HV48" s="806"/>
      <c r="HW48" s="806"/>
      <c r="HX48" s="806"/>
      <c r="HY48" s="806"/>
      <c r="HZ48" s="806"/>
      <c r="IA48" s="806"/>
      <c r="IB48" s="806"/>
      <c r="IC48" s="806"/>
      <c r="ID48" s="806"/>
      <c r="IE48" s="806"/>
      <c r="IF48" s="806"/>
      <c r="IG48" s="806"/>
      <c r="IH48" s="806"/>
      <c r="II48" s="806"/>
      <c r="IJ48" s="806"/>
      <c r="IK48" s="806"/>
      <c r="IL48" s="806"/>
      <c r="IM48" s="806"/>
      <c r="IN48" s="806"/>
      <c r="IO48" s="806"/>
      <c r="IP48" s="806"/>
      <c r="IQ48" s="806"/>
      <c r="IR48" s="806"/>
      <c r="IS48" s="806"/>
      <c r="IT48" s="806"/>
      <c r="IU48" s="806"/>
      <c r="IV48" s="806"/>
    </row>
    <row r="49" spans="1:256" ht="12" customHeight="1" thickTop="1">
      <c r="A49" s="806"/>
      <c r="B49" s="806"/>
      <c r="C49" s="806"/>
      <c r="D49" s="1236" t="s">
        <v>15</v>
      </c>
      <c r="E49" s="1219"/>
      <c r="F49" s="1236" t="s">
        <v>15</v>
      </c>
      <c r="G49" s="1219"/>
      <c r="H49" s="1236" t="s">
        <v>15</v>
      </c>
      <c r="I49" s="1219"/>
      <c r="J49" s="1217" t="s">
        <v>15</v>
      </c>
      <c r="K49" s="1219"/>
      <c r="L49" s="1236" t="s">
        <v>15</v>
      </c>
      <c r="M49" s="813"/>
      <c r="N49" s="806"/>
      <c r="O49" s="819"/>
      <c r="P49" s="819"/>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6"/>
      <c r="BA49" s="806"/>
      <c r="BB49" s="806"/>
      <c r="BC49" s="806"/>
      <c r="BD49" s="806"/>
      <c r="BE49" s="806"/>
      <c r="BF49" s="806"/>
      <c r="BG49" s="806"/>
      <c r="BH49" s="806"/>
      <c r="BI49" s="806"/>
      <c r="BJ49" s="806"/>
      <c r="BK49" s="806"/>
      <c r="BL49" s="806"/>
      <c r="BM49" s="806"/>
      <c r="BN49" s="806"/>
      <c r="BO49" s="806"/>
      <c r="BP49" s="806"/>
      <c r="BQ49" s="806"/>
      <c r="BR49" s="806"/>
      <c r="BS49" s="806"/>
      <c r="BT49" s="806"/>
      <c r="BU49" s="806"/>
      <c r="BV49" s="806"/>
      <c r="BW49" s="806"/>
      <c r="BX49" s="806"/>
      <c r="BY49" s="806"/>
      <c r="BZ49" s="806"/>
      <c r="CA49" s="806"/>
      <c r="CB49" s="806"/>
      <c r="CC49" s="806"/>
      <c r="CD49" s="806"/>
      <c r="CE49" s="806"/>
      <c r="CF49" s="806"/>
      <c r="CG49" s="806"/>
      <c r="CH49" s="806"/>
      <c r="CI49" s="806"/>
      <c r="CJ49" s="806"/>
      <c r="CK49" s="806"/>
      <c r="CL49" s="806"/>
      <c r="CM49" s="806"/>
      <c r="CN49" s="806"/>
      <c r="CO49" s="806"/>
      <c r="CP49" s="806"/>
      <c r="CQ49" s="806"/>
      <c r="CR49" s="806"/>
      <c r="CS49" s="806"/>
      <c r="CT49" s="806"/>
      <c r="CU49" s="806"/>
      <c r="CV49" s="806"/>
      <c r="CW49" s="806"/>
      <c r="CX49" s="806"/>
      <c r="CY49" s="806"/>
      <c r="CZ49" s="806"/>
      <c r="DA49" s="806"/>
      <c r="DB49" s="806"/>
      <c r="DC49" s="806"/>
      <c r="DD49" s="806"/>
      <c r="DE49" s="806"/>
      <c r="DF49" s="806"/>
      <c r="DG49" s="806"/>
      <c r="DH49" s="806"/>
      <c r="DI49" s="806"/>
      <c r="DJ49" s="806"/>
      <c r="DK49" s="806"/>
      <c r="DL49" s="806"/>
      <c r="DM49" s="806"/>
      <c r="DN49" s="806"/>
      <c r="DO49" s="806"/>
      <c r="DP49" s="806"/>
      <c r="DQ49" s="806"/>
      <c r="DR49" s="806"/>
      <c r="DS49" s="806"/>
      <c r="DT49" s="806"/>
      <c r="DU49" s="806"/>
      <c r="DV49" s="806"/>
      <c r="DW49" s="806"/>
      <c r="DX49" s="806"/>
      <c r="DY49" s="806"/>
      <c r="DZ49" s="806"/>
      <c r="EA49" s="806"/>
      <c r="EB49" s="806"/>
      <c r="EC49" s="806"/>
      <c r="ED49" s="806"/>
      <c r="EE49" s="806"/>
      <c r="EF49" s="806"/>
      <c r="EG49" s="806"/>
      <c r="EH49" s="806"/>
      <c r="EI49" s="806"/>
      <c r="EJ49" s="806"/>
      <c r="EK49" s="806"/>
      <c r="EL49" s="806"/>
      <c r="EM49" s="806"/>
      <c r="EN49" s="806"/>
      <c r="EO49" s="806"/>
      <c r="EP49" s="806"/>
      <c r="EQ49" s="806"/>
      <c r="ER49" s="806"/>
      <c r="ES49" s="806"/>
      <c r="ET49" s="806"/>
      <c r="EU49" s="806"/>
      <c r="EV49" s="806"/>
      <c r="EW49" s="806"/>
      <c r="EX49" s="806"/>
      <c r="EY49" s="806"/>
      <c r="EZ49" s="806"/>
      <c r="FA49" s="806"/>
      <c r="FB49" s="806"/>
      <c r="FC49" s="806"/>
      <c r="FD49" s="806"/>
      <c r="FE49" s="806"/>
      <c r="FF49" s="806"/>
      <c r="FG49" s="806"/>
      <c r="FH49" s="806"/>
      <c r="FI49" s="806"/>
      <c r="FJ49" s="806"/>
      <c r="FK49" s="806"/>
      <c r="FL49" s="806"/>
      <c r="FM49" s="806"/>
      <c r="FN49" s="806"/>
      <c r="FO49" s="806"/>
      <c r="FP49" s="806"/>
      <c r="FQ49" s="806"/>
      <c r="FR49" s="806"/>
      <c r="FS49" s="806"/>
      <c r="FT49" s="806"/>
      <c r="FU49" s="806"/>
      <c r="FV49" s="806"/>
      <c r="FW49" s="806"/>
      <c r="FX49" s="806"/>
      <c r="FY49" s="806"/>
      <c r="FZ49" s="806"/>
      <c r="GA49" s="806"/>
      <c r="GB49" s="806"/>
      <c r="GC49" s="806"/>
      <c r="GD49" s="806"/>
      <c r="GE49" s="806"/>
      <c r="GF49" s="806"/>
      <c r="GG49" s="806"/>
      <c r="GH49" s="806"/>
      <c r="GI49" s="806"/>
      <c r="GJ49" s="806"/>
      <c r="GK49" s="806"/>
      <c r="GL49" s="806"/>
      <c r="GM49" s="806"/>
      <c r="GN49" s="806"/>
      <c r="GO49" s="806"/>
      <c r="GP49" s="806"/>
      <c r="GQ49" s="806"/>
      <c r="GR49" s="806"/>
      <c r="GS49" s="806"/>
      <c r="GT49" s="806"/>
      <c r="GU49" s="806"/>
      <c r="GV49" s="806"/>
      <c r="GW49" s="806"/>
      <c r="GX49" s="806"/>
      <c r="GY49" s="806"/>
      <c r="GZ49" s="806"/>
      <c r="HA49" s="806"/>
      <c r="HB49" s="806"/>
      <c r="HC49" s="806"/>
      <c r="HD49" s="806"/>
      <c r="HE49" s="806"/>
      <c r="HF49" s="806"/>
      <c r="HG49" s="806"/>
      <c r="HH49" s="806"/>
      <c r="HI49" s="806"/>
      <c r="HJ49" s="806"/>
      <c r="HK49" s="806"/>
      <c r="HL49" s="806"/>
      <c r="HM49" s="806"/>
      <c r="HN49" s="806"/>
      <c r="HO49" s="806"/>
      <c r="HP49" s="806"/>
      <c r="HQ49" s="806"/>
      <c r="HR49" s="806"/>
      <c r="HS49" s="806"/>
      <c r="HT49" s="806"/>
      <c r="HU49" s="806"/>
      <c r="HV49" s="806"/>
      <c r="HW49" s="806"/>
      <c r="HX49" s="806"/>
      <c r="HY49" s="806"/>
      <c r="HZ49" s="806"/>
      <c r="IA49" s="806"/>
      <c r="IB49" s="806"/>
      <c r="IC49" s="806"/>
      <c r="ID49" s="806"/>
      <c r="IE49" s="806"/>
      <c r="IF49" s="806"/>
      <c r="IG49" s="806"/>
      <c r="IH49" s="806"/>
      <c r="II49" s="806"/>
      <c r="IJ49" s="806"/>
      <c r="IK49" s="806"/>
      <c r="IL49" s="806"/>
      <c r="IM49" s="806"/>
      <c r="IN49" s="806"/>
      <c r="IO49" s="806"/>
      <c r="IP49" s="806"/>
      <c r="IQ49" s="806"/>
      <c r="IR49" s="806"/>
      <c r="IS49" s="806"/>
      <c r="IT49" s="806"/>
      <c r="IU49" s="806"/>
      <c r="IV49" s="806"/>
    </row>
    <row r="50" spans="1:256" ht="15.75" customHeight="1">
      <c r="A50" s="1237"/>
      <c r="B50" s="806"/>
      <c r="C50" s="806"/>
      <c r="D50" s="806"/>
      <c r="E50" s="806"/>
      <c r="F50" s="806"/>
      <c r="G50" s="806"/>
      <c r="H50" s="806"/>
      <c r="I50" s="806"/>
      <c r="J50" s="806"/>
      <c r="K50" s="806"/>
      <c r="L50" s="806"/>
      <c r="M50" s="806"/>
      <c r="N50" s="806"/>
      <c r="O50" s="819"/>
      <c r="P50" s="819"/>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6"/>
      <c r="BA50" s="806"/>
      <c r="BB50" s="806"/>
      <c r="BC50" s="806"/>
      <c r="BD50" s="806"/>
      <c r="BE50" s="806"/>
      <c r="BF50" s="806"/>
      <c r="BG50" s="806"/>
      <c r="BH50" s="806"/>
      <c r="BI50" s="806"/>
      <c r="BJ50" s="806"/>
      <c r="BK50" s="806"/>
      <c r="BL50" s="806"/>
      <c r="BM50" s="806"/>
      <c r="BN50" s="806"/>
      <c r="BO50" s="806"/>
      <c r="BP50" s="806"/>
      <c r="BQ50" s="806"/>
      <c r="BR50" s="806"/>
      <c r="BS50" s="806"/>
      <c r="BT50" s="806"/>
      <c r="BU50" s="806"/>
      <c r="BV50" s="806"/>
      <c r="BW50" s="806"/>
      <c r="BX50" s="806"/>
      <c r="BY50" s="806"/>
      <c r="BZ50" s="806"/>
      <c r="CA50" s="806"/>
      <c r="CB50" s="806"/>
      <c r="CC50" s="806"/>
      <c r="CD50" s="806"/>
      <c r="CE50" s="806"/>
      <c r="CF50" s="806"/>
      <c r="CG50" s="806"/>
      <c r="CH50" s="806"/>
      <c r="CI50" s="806"/>
      <c r="CJ50" s="806"/>
      <c r="CK50" s="806"/>
      <c r="CL50" s="806"/>
      <c r="CM50" s="806"/>
      <c r="CN50" s="806"/>
      <c r="CO50" s="806"/>
      <c r="CP50" s="806"/>
      <c r="CQ50" s="806"/>
      <c r="CR50" s="806"/>
      <c r="CS50" s="806"/>
      <c r="CT50" s="806"/>
      <c r="CU50" s="806"/>
      <c r="CV50" s="806"/>
      <c r="CW50" s="806"/>
      <c r="CX50" s="806"/>
      <c r="CY50" s="806"/>
      <c r="CZ50" s="806"/>
      <c r="DA50" s="806"/>
      <c r="DB50" s="806"/>
      <c r="DC50" s="806"/>
      <c r="DD50" s="806"/>
      <c r="DE50" s="806"/>
      <c r="DF50" s="806"/>
      <c r="DG50" s="806"/>
      <c r="DH50" s="806"/>
      <c r="DI50" s="806"/>
      <c r="DJ50" s="806"/>
      <c r="DK50" s="806"/>
      <c r="DL50" s="806"/>
      <c r="DM50" s="806"/>
      <c r="DN50" s="806"/>
      <c r="DO50" s="806"/>
      <c r="DP50" s="806"/>
      <c r="DQ50" s="806"/>
      <c r="DR50" s="806"/>
      <c r="DS50" s="806"/>
      <c r="DT50" s="806"/>
      <c r="DU50" s="806"/>
      <c r="DV50" s="806"/>
      <c r="DW50" s="806"/>
      <c r="DX50" s="806"/>
      <c r="DY50" s="806"/>
      <c r="DZ50" s="806"/>
      <c r="EA50" s="806"/>
      <c r="EB50" s="806"/>
      <c r="EC50" s="806"/>
      <c r="ED50" s="806"/>
      <c r="EE50" s="806"/>
      <c r="EF50" s="806"/>
      <c r="EG50" s="806"/>
      <c r="EH50" s="806"/>
      <c r="EI50" s="806"/>
      <c r="EJ50" s="806"/>
      <c r="EK50" s="806"/>
      <c r="EL50" s="806"/>
      <c r="EM50" s="806"/>
      <c r="EN50" s="806"/>
      <c r="EO50" s="806"/>
      <c r="EP50" s="806"/>
      <c r="EQ50" s="806"/>
      <c r="ER50" s="806"/>
      <c r="ES50" s="806"/>
      <c r="ET50" s="806"/>
      <c r="EU50" s="806"/>
      <c r="EV50" s="806"/>
      <c r="EW50" s="806"/>
      <c r="EX50" s="806"/>
      <c r="EY50" s="806"/>
      <c r="EZ50" s="806"/>
      <c r="FA50" s="806"/>
      <c r="FB50" s="806"/>
      <c r="FC50" s="806"/>
      <c r="FD50" s="806"/>
      <c r="FE50" s="806"/>
      <c r="FF50" s="806"/>
      <c r="FG50" s="806"/>
      <c r="FH50" s="806"/>
      <c r="FI50" s="806"/>
      <c r="FJ50" s="806"/>
      <c r="FK50" s="806"/>
      <c r="FL50" s="806"/>
      <c r="FM50" s="806"/>
      <c r="FN50" s="806"/>
      <c r="FO50" s="806"/>
      <c r="FP50" s="806"/>
      <c r="FQ50" s="806"/>
      <c r="FR50" s="806"/>
      <c r="FS50" s="806"/>
      <c r="FT50" s="806"/>
      <c r="FU50" s="806"/>
      <c r="FV50" s="806"/>
      <c r="FW50" s="806"/>
      <c r="FX50" s="806"/>
      <c r="FY50" s="806"/>
      <c r="FZ50" s="806"/>
      <c r="GA50" s="806"/>
      <c r="GB50" s="806"/>
      <c r="GC50" s="806"/>
      <c r="GD50" s="806"/>
      <c r="GE50" s="806"/>
      <c r="GF50" s="806"/>
      <c r="GG50" s="806"/>
      <c r="GH50" s="806"/>
      <c r="GI50" s="806"/>
      <c r="GJ50" s="806"/>
      <c r="GK50" s="806"/>
      <c r="GL50" s="806"/>
      <c r="GM50" s="806"/>
      <c r="GN50" s="806"/>
      <c r="GO50" s="806"/>
      <c r="GP50" s="806"/>
      <c r="GQ50" s="806"/>
      <c r="GR50" s="806"/>
      <c r="GS50" s="806"/>
      <c r="GT50" s="806"/>
      <c r="GU50" s="806"/>
      <c r="GV50" s="806"/>
      <c r="GW50" s="806"/>
      <c r="GX50" s="806"/>
      <c r="GY50" s="806"/>
      <c r="GZ50" s="806"/>
      <c r="HA50" s="806"/>
      <c r="HB50" s="806"/>
      <c r="HC50" s="806"/>
      <c r="HD50" s="806"/>
      <c r="HE50" s="806"/>
      <c r="HF50" s="806"/>
      <c r="HG50" s="806"/>
      <c r="HH50" s="806"/>
      <c r="HI50" s="806"/>
      <c r="HJ50" s="806"/>
      <c r="HK50" s="806"/>
      <c r="HL50" s="806"/>
      <c r="HM50" s="806"/>
      <c r="HN50" s="806"/>
      <c r="HO50" s="806"/>
      <c r="HP50" s="806"/>
      <c r="HQ50" s="806"/>
      <c r="HR50" s="806"/>
      <c r="HS50" s="806"/>
      <c r="HT50" s="806"/>
      <c r="HU50" s="806"/>
      <c r="HV50" s="806"/>
      <c r="HW50" s="806"/>
      <c r="HX50" s="806"/>
      <c r="HY50" s="806"/>
      <c r="HZ50" s="806"/>
      <c r="IA50" s="806"/>
      <c r="IB50" s="806"/>
      <c r="IC50" s="806"/>
      <c r="ID50" s="806"/>
      <c r="IE50" s="806"/>
      <c r="IF50" s="806"/>
      <c r="IG50" s="806"/>
      <c r="IH50" s="806"/>
      <c r="II50" s="806"/>
      <c r="IJ50" s="806"/>
      <c r="IK50" s="806"/>
      <c r="IL50" s="806"/>
      <c r="IM50" s="806"/>
      <c r="IN50" s="806"/>
      <c r="IO50" s="806"/>
      <c r="IP50" s="806"/>
      <c r="IQ50" s="806"/>
      <c r="IR50" s="806"/>
      <c r="IS50" s="806"/>
      <c r="IT50" s="806"/>
      <c r="IU50" s="806"/>
      <c r="IV50" s="806"/>
    </row>
    <row r="51" spans="1:256" ht="18">
      <c r="A51" s="806"/>
      <c r="B51" s="806"/>
      <c r="C51" s="806"/>
      <c r="D51" s="817"/>
      <c r="E51" s="806"/>
      <c r="F51" s="806"/>
      <c r="G51" s="806"/>
      <c r="H51" s="806"/>
      <c r="I51" s="806"/>
      <c r="J51" s="806"/>
      <c r="K51" s="806"/>
      <c r="L51" s="820"/>
      <c r="M51" s="806"/>
      <c r="N51" s="806"/>
      <c r="O51" s="819"/>
      <c r="P51" s="819"/>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6"/>
      <c r="BA51" s="806"/>
      <c r="BB51" s="806"/>
      <c r="BC51" s="806"/>
      <c r="BD51" s="806"/>
      <c r="BE51" s="806"/>
      <c r="BF51" s="806"/>
      <c r="BG51" s="806"/>
      <c r="BH51" s="806"/>
      <c r="BI51" s="806"/>
      <c r="BJ51" s="806"/>
      <c r="BK51" s="806"/>
      <c r="BL51" s="806"/>
      <c r="BM51" s="806"/>
      <c r="BN51" s="806"/>
      <c r="BO51" s="806"/>
      <c r="BP51" s="806"/>
      <c r="BQ51" s="806"/>
      <c r="BR51" s="806"/>
      <c r="BS51" s="806"/>
      <c r="BT51" s="806"/>
      <c r="BU51" s="806"/>
      <c r="BV51" s="806"/>
      <c r="BW51" s="806"/>
      <c r="BX51" s="806"/>
      <c r="BY51" s="806"/>
      <c r="BZ51" s="806"/>
      <c r="CA51" s="806"/>
      <c r="CB51" s="806"/>
      <c r="CC51" s="806"/>
      <c r="CD51" s="806"/>
      <c r="CE51" s="806"/>
      <c r="CF51" s="806"/>
      <c r="CG51" s="806"/>
      <c r="CH51" s="806"/>
      <c r="CI51" s="806"/>
      <c r="CJ51" s="806"/>
      <c r="CK51" s="806"/>
      <c r="CL51" s="806"/>
      <c r="CM51" s="806"/>
      <c r="CN51" s="806"/>
      <c r="CO51" s="806"/>
      <c r="CP51" s="806"/>
      <c r="CQ51" s="806"/>
      <c r="CR51" s="806"/>
      <c r="CS51" s="806"/>
      <c r="CT51" s="806"/>
      <c r="CU51" s="806"/>
      <c r="CV51" s="806"/>
      <c r="CW51" s="806"/>
      <c r="CX51" s="806"/>
      <c r="CY51" s="806"/>
      <c r="CZ51" s="806"/>
      <c r="DA51" s="806"/>
      <c r="DB51" s="806"/>
      <c r="DC51" s="806"/>
      <c r="DD51" s="806"/>
      <c r="DE51" s="806"/>
      <c r="DF51" s="806"/>
      <c r="DG51" s="806"/>
      <c r="DH51" s="806"/>
      <c r="DI51" s="806"/>
      <c r="DJ51" s="806"/>
      <c r="DK51" s="806"/>
      <c r="DL51" s="806"/>
      <c r="DM51" s="806"/>
      <c r="DN51" s="806"/>
      <c r="DO51" s="806"/>
      <c r="DP51" s="806"/>
      <c r="DQ51" s="806"/>
      <c r="DR51" s="806"/>
      <c r="DS51" s="806"/>
      <c r="DT51" s="806"/>
      <c r="DU51" s="806"/>
      <c r="DV51" s="806"/>
      <c r="DW51" s="806"/>
      <c r="DX51" s="806"/>
      <c r="DY51" s="806"/>
      <c r="DZ51" s="806"/>
      <c r="EA51" s="806"/>
      <c r="EB51" s="806"/>
      <c r="EC51" s="806"/>
      <c r="ED51" s="806"/>
      <c r="EE51" s="806"/>
      <c r="EF51" s="806"/>
      <c r="EG51" s="806"/>
      <c r="EH51" s="806"/>
      <c r="EI51" s="806"/>
      <c r="EJ51" s="806"/>
      <c r="EK51" s="806"/>
      <c r="EL51" s="806"/>
      <c r="EM51" s="806"/>
      <c r="EN51" s="806"/>
      <c r="EO51" s="806"/>
      <c r="EP51" s="806"/>
      <c r="EQ51" s="806"/>
      <c r="ER51" s="806"/>
      <c r="ES51" s="806"/>
      <c r="ET51" s="806"/>
      <c r="EU51" s="806"/>
      <c r="EV51" s="806"/>
      <c r="EW51" s="806"/>
      <c r="EX51" s="806"/>
      <c r="EY51" s="806"/>
      <c r="EZ51" s="806"/>
      <c r="FA51" s="806"/>
      <c r="FB51" s="806"/>
      <c r="FC51" s="806"/>
      <c r="FD51" s="806"/>
      <c r="FE51" s="806"/>
      <c r="FF51" s="806"/>
      <c r="FG51" s="806"/>
      <c r="FH51" s="806"/>
      <c r="FI51" s="806"/>
      <c r="FJ51" s="806"/>
      <c r="FK51" s="806"/>
      <c r="FL51" s="806"/>
      <c r="FM51" s="806"/>
      <c r="FN51" s="806"/>
      <c r="FO51" s="806"/>
      <c r="FP51" s="806"/>
      <c r="FQ51" s="806"/>
      <c r="FR51" s="806"/>
      <c r="FS51" s="806"/>
      <c r="FT51" s="806"/>
      <c r="FU51" s="806"/>
      <c r="FV51" s="806"/>
      <c r="FW51" s="806"/>
      <c r="FX51" s="806"/>
      <c r="FY51" s="806"/>
      <c r="FZ51" s="806"/>
      <c r="GA51" s="806"/>
      <c r="GB51" s="806"/>
      <c r="GC51" s="806"/>
      <c r="GD51" s="806"/>
      <c r="GE51" s="806"/>
      <c r="GF51" s="806"/>
      <c r="GG51" s="806"/>
      <c r="GH51" s="806"/>
      <c r="GI51" s="806"/>
      <c r="GJ51" s="806"/>
      <c r="GK51" s="806"/>
      <c r="GL51" s="806"/>
      <c r="GM51" s="806"/>
      <c r="GN51" s="806"/>
      <c r="GO51" s="806"/>
      <c r="GP51" s="806"/>
      <c r="GQ51" s="806"/>
      <c r="GR51" s="806"/>
      <c r="GS51" s="806"/>
      <c r="GT51" s="806"/>
      <c r="GU51" s="806"/>
      <c r="GV51" s="806"/>
      <c r="GW51" s="806"/>
      <c r="GX51" s="806"/>
      <c r="GY51" s="806"/>
      <c r="GZ51" s="806"/>
      <c r="HA51" s="806"/>
      <c r="HB51" s="806"/>
      <c r="HC51" s="806"/>
      <c r="HD51" s="806"/>
      <c r="HE51" s="806"/>
      <c r="HF51" s="806"/>
      <c r="HG51" s="806"/>
      <c r="HH51" s="806"/>
      <c r="HI51" s="806"/>
      <c r="HJ51" s="806"/>
      <c r="HK51" s="806"/>
      <c r="HL51" s="806"/>
      <c r="HM51" s="806"/>
      <c r="HN51" s="806"/>
      <c r="HO51" s="806"/>
      <c r="HP51" s="806"/>
      <c r="HQ51" s="806"/>
      <c r="HR51" s="806"/>
      <c r="HS51" s="806"/>
      <c r="HT51" s="806"/>
      <c r="HU51" s="806"/>
      <c r="HV51" s="806"/>
      <c r="HW51" s="806"/>
      <c r="HX51" s="806"/>
      <c r="HY51" s="806"/>
      <c r="HZ51" s="806"/>
      <c r="IA51" s="806"/>
      <c r="IB51" s="806"/>
      <c r="IC51" s="806"/>
      <c r="ID51" s="806"/>
      <c r="IE51" s="806"/>
      <c r="IF51" s="806"/>
      <c r="IG51" s="806"/>
      <c r="IH51" s="806"/>
      <c r="II51" s="806"/>
      <c r="IJ51" s="806"/>
      <c r="IK51" s="806"/>
      <c r="IL51" s="806"/>
      <c r="IM51" s="806"/>
      <c r="IN51" s="806"/>
      <c r="IO51" s="806"/>
      <c r="IP51" s="806"/>
      <c r="IQ51" s="806"/>
      <c r="IR51" s="806"/>
      <c r="IS51" s="806"/>
      <c r="IT51" s="806"/>
      <c r="IU51" s="806"/>
      <c r="IV51" s="806"/>
    </row>
    <row r="52" spans="1:256" ht="18">
      <c r="A52" s="817"/>
      <c r="B52" s="806"/>
      <c r="C52" s="806"/>
      <c r="D52" s="806"/>
      <c r="E52" s="806"/>
      <c r="F52" s="806"/>
      <c r="G52" s="806"/>
      <c r="H52" s="806"/>
      <c r="I52" s="806"/>
      <c r="J52" s="806"/>
      <c r="K52" s="806"/>
      <c r="L52" s="806"/>
      <c r="M52" s="806"/>
      <c r="N52" s="806"/>
      <c r="O52" s="819"/>
      <c r="P52" s="819"/>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6"/>
      <c r="BA52" s="806"/>
      <c r="BB52" s="806"/>
      <c r="BC52" s="806"/>
      <c r="BD52" s="806"/>
      <c r="BE52" s="806"/>
      <c r="BF52" s="806"/>
      <c r="BG52" s="806"/>
      <c r="BH52" s="806"/>
      <c r="BI52" s="806"/>
      <c r="BJ52" s="806"/>
      <c r="BK52" s="806"/>
      <c r="BL52" s="806"/>
      <c r="BM52" s="806"/>
      <c r="BN52" s="806"/>
      <c r="BO52" s="806"/>
      <c r="BP52" s="806"/>
      <c r="BQ52" s="806"/>
      <c r="BR52" s="806"/>
      <c r="BS52" s="806"/>
      <c r="BT52" s="806"/>
      <c r="BU52" s="806"/>
      <c r="BV52" s="806"/>
      <c r="BW52" s="806"/>
      <c r="BX52" s="806"/>
      <c r="BY52" s="806"/>
      <c r="BZ52" s="806"/>
      <c r="CA52" s="806"/>
      <c r="CB52" s="806"/>
      <c r="CC52" s="806"/>
      <c r="CD52" s="806"/>
      <c r="CE52" s="806"/>
      <c r="CF52" s="806"/>
      <c r="CG52" s="806"/>
      <c r="CH52" s="806"/>
      <c r="CI52" s="806"/>
      <c r="CJ52" s="806"/>
      <c r="CK52" s="806"/>
      <c r="CL52" s="806"/>
      <c r="CM52" s="806"/>
      <c r="CN52" s="806"/>
      <c r="CO52" s="806"/>
      <c r="CP52" s="806"/>
      <c r="CQ52" s="806"/>
      <c r="CR52" s="806"/>
      <c r="CS52" s="806"/>
      <c r="CT52" s="806"/>
      <c r="CU52" s="806"/>
      <c r="CV52" s="806"/>
      <c r="CW52" s="806"/>
      <c r="CX52" s="806"/>
      <c r="CY52" s="806"/>
      <c r="CZ52" s="806"/>
      <c r="DA52" s="806"/>
      <c r="DB52" s="806"/>
      <c r="DC52" s="806"/>
      <c r="DD52" s="806"/>
      <c r="DE52" s="806"/>
      <c r="DF52" s="806"/>
      <c r="DG52" s="806"/>
      <c r="DH52" s="806"/>
      <c r="DI52" s="806"/>
      <c r="DJ52" s="806"/>
      <c r="DK52" s="806"/>
      <c r="DL52" s="806"/>
      <c r="DM52" s="806"/>
      <c r="DN52" s="806"/>
      <c r="DO52" s="806"/>
      <c r="DP52" s="806"/>
      <c r="DQ52" s="806"/>
      <c r="DR52" s="806"/>
      <c r="DS52" s="806"/>
      <c r="DT52" s="806"/>
      <c r="DU52" s="806"/>
      <c r="DV52" s="806"/>
      <c r="DW52" s="806"/>
      <c r="DX52" s="806"/>
      <c r="DY52" s="806"/>
      <c r="DZ52" s="806"/>
      <c r="EA52" s="806"/>
      <c r="EB52" s="806"/>
      <c r="EC52" s="806"/>
      <c r="ED52" s="806"/>
      <c r="EE52" s="806"/>
      <c r="EF52" s="806"/>
      <c r="EG52" s="806"/>
      <c r="EH52" s="806"/>
      <c r="EI52" s="806"/>
      <c r="EJ52" s="806"/>
      <c r="EK52" s="806"/>
      <c r="EL52" s="806"/>
      <c r="EM52" s="806"/>
      <c r="EN52" s="806"/>
      <c r="EO52" s="806"/>
      <c r="EP52" s="806"/>
      <c r="EQ52" s="806"/>
      <c r="ER52" s="806"/>
      <c r="ES52" s="806"/>
      <c r="ET52" s="806"/>
      <c r="EU52" s="806"/>
      <c r="EV52" s="806"/>
      <c r="EW52" s="806"/>
      <c r="EX52" s="806"/>
      <c r="EY52" s="806"/>
      <c r="EZ52" s="806"/>
      <c r="FA52" s="806"/>
      <c r="FB52" s="806"/>
      <c r="FC52" s="806"/>
      <c r="FD52" s="806"/>
      <c r="FE52" s="806"/>
      <c r="FF52" s="806"/>
      <c r="FG52" s="806"/>
      <c r="FH52" s="806"/>
      <c r="FI52" s="806"/>
      <c r="FJ52" s="806"/>
      <c r="FK52" s="806"/>
      <c r="FL52" s="806"/>
      <c r="FM52" s="806"/>
      <c r="FN52" s="806"/>
      <c r="FO52" s="806"/>
      <c r="FP52" s="806"/>
      <c r="FQ52" s="806"/>
      <c r="FR52" s="806"/>
      <c r="FS52" s="806"/>
      <c r="FT52" s="806"/>
      <c r="FU52" s="806"/>
      <c r="FV52" s="806"/>
      <c r="FW52" s="806"/>
      <c r="FX52" s="806"/>
      <c r="FY52" s="806"/>
      <c r="FZ52" s="806"/>
      <c r="GA52" s="806"/>
      <c r="GB52" s="806"/>
      <c r="GC52" s="806"/>
      <c r="GD52" s="806"/>
      <c r="GE52" s="806"/>
      <c r="GF52" s="806"/>
      <c r="GG52" s="806"/>
      <c r="GH52" s="806"/>
      <c r="GI52" s="806"/>
      <c r="GJ52" s="806"/>
      <c r="GK52" s="806"/>
      <c r="GL52" s="806"/>
      <c r="GM52" s="806"/>
      <c r="GN52" s="806"/>
      <c r="GO52" s="806"/>
      <c r="GP52" s="806"/>
      <c r="GQ52" s="806"/>
      <c r="GR52" s="806"/>
      <c r="GS52" s="806"/>
      <c r="GT52" s="806"/>
      <c r="GU52" s="806"/>
      <c r="GV52" s="806"/>
      <c r="GW52" s="806"/>
      <c r="GX52" s="806"/>
      <c r="GY52" s="806"/>
      <c r="GZ52" s="806"/>
      <c r="HA52" s="806"/>
      <c r="HB52" s="806"/>
      <c r="HC52" s="806"/>
      <c r="HD52" s="806"/>
      <c r="HE52" s="806"/>
      <c r="HF52" s="806"/>
      <c r="HG52" s="806"/>
      <c r="HH52" s="806"/>
      <c r="HI52" s="806"/>
      <c r="HJ52" s="806"/>
      <c r="HK52" s="806"/>
      <c r="HL52" s="806"/>
      <c r="HM52" s="806"/>
      <c r="HN52" s="806"/>
      <c r="HO52" s="806"/>
      <c r="HP52" s="806"/>
      <c r="HQ52" s="806"/>
      <c r="HR52" s="806"/>
      <c r="HS52" s="806"/>
      <c r="HT52" s="806"/>
      <c r="HU52" s="806"/>
      <c r="HV52" s="806"/>
      <c r="HW52" s="806"/>
      <c r="HX52" s="806"/>
      <c r="HY52" s="806"/>
      <c r="HZ52" s="806"/>
      <c r="IA52" s="806"/>
      <c r="IB52" s="806"/>
      <c r="IC52" s="806"/>
      <c r="ID52" s="806"/>
      <c r="IE52" s="806"/>
      <c r="IF52" s="806"/>
      <c r="IG52" s="806"/>
      <c r="IH52" s="806"/>
      <c r="II52" s="806"/>
      <c r="IJ52" s="806"/>
      <c r="IK52" s="806"/>
      <c r="IL52" s="806"/>
      <c r="IM52" s="806"/>
      <c r="IN52" s="806"/>
      <c r="IO52" s="806"/>
      <c r="IP52" s="806"/>
      <c r="IQ52" s="806"/>
      <c r="IR52" s="806"/>
      <c r="IS52" s="806"/>
      <c r="IT52" s="806"/>
      <c r="IU52" s="806"/>
      <c r="IV52" s="806"/>
    </row>
    <row r="53" spans="1:256" ht="18">
      <c r="A53" s="817"/>
      <c r="B53" s="806"/>
      <c r="C53" s="806"/>
      <c r="D53" s="806"/>
      <c r="E53" s="806"/>
      <c r="F53" s="806"/>
      <c r="G53" s="806"/>
      <c r="H53" s="806"/>
      <c r="I53" s="806"/>
      <c r="J53" s="806"/>
      <c r="K53" s="806"/>
      <c r="L53" s="806"/>
      <c r="M53" s="806"/>
      <c r="N53" s="806"/>
      <c r="O53" s="819"/>
      <c r="P53" s="819"/>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6"/>
      <c r="BA53" s="806"/>
      <c r="BB53" s="806"/>
      <c r="BC53" s="806"/>
      <c r="BD53" s="806"/>
      <c r="BE53" s="806"/>
      <c r="BF53" s="806"/>
      <c r="BG53" s="806"/>
      <c r="BH53" s="806"/>
      <c r="BI53" s="806"/>
      <c r="BJ53" s="806"/>
      <c r="BK53" s="806"/>
      <c r="BL53" s="806"/>
      <c r="BM53" s="806"/>
      <c r="BN53" s="806"/>
      <c r="BO53" s="806"/>
      <c r="BP53" s="806"/>
      <c r="BQ53" s="806"/>
      <c r="BR53" s="806"/>
      <c r="BS53" s="806"/>
      <c r="BT53" s="806"/>
      <c r="BU53" s="806"/>
      <c r="BV53" s="806"/>
      <c r="BW53" s="806"/>
      <c r="BX53" s="806"/>
      <c r="BY53" s="806"/>
      <c r="BZ53" s="806"/>
      <c r="CA53" s="806"/>
      <c r="CB53" s="806"/>
      <c r="CC53" s="806"/>
      <c r="CD53" s="806"/>
      <c r="CE53" s="806"/>
      <c r="CF53" s="806"/>
      <c r="CG53" s="806"/>
      <c r="CH53" s="806"/>
      <c r="CI53" s="806"/>
      <c r="CJ53" s="806"/>
      <c r="CK53" s="806"/>
      <c r="CL53" s="806"/>
      <c r="CM53" s="806"/>
      <c r="CN53" s="806"/>
      <c r="CO53" s="806"/>
      <c r="CP53" s="806"/>
      <c r="CQ53" s="806"/>
      <c r="CR53" s="806"/>
      <c r="CS53" s="806"/>
      <c r="CT53" s="806"/>
      <c r="CU53" s="806"/>
      <c r="CV53" s="806"/>
      <c r="CW53" s="806"/>
      <c r="CX53" s="806"/>
      <c r="CY53" s="806"/>
      <c r="CZ53" s="806"/>
      <c r="DA53" s="806"/>
      <c r="DB53" s="806"/>
      <c r="DC53" s="806"/>
      <c r="DD53" s="806"/>
      <c r="DE53" s="806"/>
      <c r="DF53" s="806"/>
      <c r="DG53" s="806"/>
      <c r="DH53" s="806"/>
      <c r="DI53" s="806"/>
      <c r="DJ53" s="806"/>
      <c r="DK53" s="806"/>
      <c r="DL53" s="806"/>
      <c r="DM53" s="806"/>
      <c r="DN53" s="806"/>
      <c r="DO53" s="806"/>
      <c r="DP53" s="806"/>
      <c r="DQ53" s="806"/>
      <c r="DR53" s="806"/>
      <c r="DS53" s="806"/>
      <c r="DT53" s="806"/>
      <c r="DU53" s="806"/>
      <c r="DV53" s="806"/>
      <c r="DW53" s="806"/>
      <c r="DX53" s="806"/>
      <c r="DY53" s="806"/>
      <c r="DZ53" s="806"/>
      <c r="EA53" s="806"/>
      <c r="EB53" s="806"/>
      <c r="EC53" s="806"/>
      <c r="ED53" s="806"/>
      <c r="EE53" s="806"/>
      <c r="EF53" s="806"/>
      <c r="EG53" s="806"/>
      <c r="EH53" s="806"/>
      <c r="EI53" s="806"/>
      <c r="EJ53" s="806"/>
      <c r="EK53" s="806"/>
      <c r="EL53" s="806"/>
      <c r="EM53" s="806"/>
      <c r="EN53" s="806"/>
      <c r="EO53" s="806"/>
      <c r="EP53" s="806"/>
      <c r="EQ53" s="806"/>
      <c r="ER53" s="806"/>
      <c r="ES53" s="806"/>
      <c r="ET53" s="806"/>
      <c r="EU53" s="806"/>
      <c r="EV53" s="806"/>
      <c r="EW53" s="806"/>
      <c r="EX53" s="806"/>
      <c r="EY53" s="806"/>
      <c r="EZ53" s="806"/>
      <c r="FA53" s="806"/>
      <c r="FB53" s="806"/>
      <c r="FC53" s="806"/>
      <c r="FD53" s="806"/>
      <c r="FE53" s="806"/>
      <c r="FF53" s="806"/>
      <c r="FG53" s="806"/>
      <c r="FH53" s="806"/>
      <c r="FI53" s="806"/>
      <c r="FJ53" s="806"/>
      <c r="FK53" s="806"/>
      <c r="FL53" s="806"/>
      <c r="FM53" s="806"/>
      <c r="FN53" s="806"/>
      <c r="FO53" s="806"/>
      <c r="FP53" s="806"/>
      <c r="FQ53" s="806"/>
      <c r="FR53" s="806"/>
      <c r="FS53" s="806"/>
      <c r="FT53" s="806"/>
      <c r="FU53" s="806"/>
      <c r="FV53" s="806"/>
      <c r="FW53" s="806"/>
      <c r="FX53" s="806"/>
      <c r="FY53" s="806"/>
      <c r="FZ53" s="806"/>
      <c r="GA53" s="806"/>
      <c r="GB53" s="806"/>
      <c r="GC53" s="806"/>
      <c r="GD53" s="806"/>
      <c r="GE53" s="806"/>
      <c r="GF53" s="806"/>
      <c r="GG53" s="806"/>
      <c r="GH53" s="806"/>
      <c r="GI53" s="806"/>
      <c r="GJ53" s="806"/>
      <c r="GK53" s="806"/>
      <c r="GL53" s="806"/>
      <c r="GM53" s="806"/>
      <c r="GN53" s="806"/>
      <c r="GO53" s="806"/>
      <c r="GP53" s="806"/>
      <c r="GQ53" s="806"/>
      <c r="GR53" s="806"/>
      <c r="GS53" s="806"/>
      <c r="GT53" s="806"/>
      <c r="GU53" s="806"/>
      <c r="GV53" s="806"/>
      <c r="GW53" s="806"/>
      <c r="GX53" s="806"/>
      <c r="GY53" s="806"/>
      <c r="GZ53" s="806"/>
      <c r="HA53" s="806"/>
      <c r="HB53" s="806"/>
      <c r="HC53" s="806"/>
      <c r="HD53" s="806"/>
      <c r="HE53" s="806"/>
      <c r="HF53" s="806"/>
      <c r="HG53" s="806"/>
      <c r="HH53" s="806"/>
      <c r="HI53" s="806"/>
      <c r="HJ53" s="806"/>
      <c r="HK53" s="806"/>
      <c r="HL53" s="806"/>
      <c r="HM53" s="806"/>
      <c r="HN53" s="806"/>
      <c r="HO53" s="806"/>
      <c r="HP53" s="806"/>
      <c r="HQ53" s="806"/>
      <c r="HR53" s="806"/>
      <c r="HS53" s="806"/>
      <c r="HT53" s="806"/>
      <c r="HU53" s="806"/>
      <c r="HV53" s="806"/>
      <c r="HW53" s="806"/>
      <c r="HX53" s="806"/>
      <c r="HY53" s="806"/>
      <c r="HZ53" s="806"/>
      <c r="IA53" s="806"/>
      <c r="IB53" s="806"/>
      <c r="IC53" s="806"/>
      <c r="ID53" s="806"/>
      <c r="IE53" s="806"/>
      <c r="IF53" s="806"/>
      <c r="IG53" s="806"/>
      <c r="IH53" s="806"/>
      <c r="II53" s="806"/>
      <c r="IJ53" s="806"/>
      <c r="IK53" s="806"/>
      <c r="IL53" s="806"/>
      <c r="IM53" s="806"/>
      <c r="IN53" s="806"/>
      <c r="IO53" s="806"/>
      <c r="IP53" s="806"/>
      <c r="IQ53" s="806"/>
      <c r="IR53" s="806"/>
      <c r="IS53" s="806"/>
      <c r="IT53" s="806"/>
      <c r="IU53" s="806"/>
      <c r="IV53" s="806"/>
    </row>
    <row r="54" spans="1:256" ht="18">
      <c r="A54" s="817"/>
      <c r="B54" s="806"/>
      <c r="C54" s="806"/>
      <c r="D54" s="806"/>
      <c r="E54" s="806"/>
      <c r="F54" s="806"/>
      <c r="G54" s="806"/>
      <c r="H54" s="806"/>
      <c r="I54" s="806"/>
      <c r="J54" s="806"/>
      <c r="K54" s="806"/>
      <c r="L54" s="806"/>
      <c r="M54" s="806"/>
      <c r="N54" s="806"/>
      <c r="O54" s="819"/>
      <c r="P54" s="819"/>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6"/>
      <c r="BA54" s="806"/>
      <c r="BB54" s="806"/>
      <c r="BC54" s="806"/>
      <c r="BD54" s="806"/>
      <c r="BE54" s="806"/>
      <c r="BF54" s="806"/>
      <c r="BG54" s="806"/>
      <c r="BH54" s="806"/>
      <c r="BI54" s="806"/>
      <c r="BJ54" s="806"/>
      <c r="BK54" s="806"/>
      <c r="BL54" s="806"/>
      <c r="BM54" s="806"/>
      <c r="BN54" s="806"/>
      <c r="BO54" s="806"/>
      <c r="BP54" s="806"/>
      <c r="BQ54" s="806"/>
      <c r="BR54" s="806"/>
      <c r="BS54" s="806"/>
      <c r="BT54" s="806"/>
      <c r="BU54" s="806"/>
      <c r="BV54" s="806"/>
      <c r="BW54" s="806"/>
      <c r="BX54" s="806"/>
      <c r="BY54" s="806"/>
      <c r="BZ54" s="806"/>
      <c r="CA54" s="806"/>
      <c r="CB54" s="806"/>
      <c r="CC54" s="806"/>
      <c r="CD54" s="806"/>
      <c r="CE54" s="806"/>
      <c r="CF54" s="806"/>
      <c r="CG54" s="806"/>
      <c r="CH54" s="806"/>
      <c r="CI54" s="806"/>
      <c r="CJ54" s="806"/>
      <c r="CK54" s="806"/>
      <c r="CL54" s="806"/>
      <c r="CM54" s="806"/>
      <c r="CN54" s="806"/>
      <c r="CO54" s="806"/>
      <c r="CP54" s="806"/>
      <c r="CQ54" s="806"/>
      <c r="CR54" s="806"/>
      <c r="CS54" s="806"/>
      <c r="CT54" s="806"/>
      <c r="CU54" s="806"/>
      <c r="CV54" s="806"/>
      <c r="CW54" s="806"/>
      <c r="CX54" s="806"/>
      <c r="CY54" s="806"/>
      <c r="CZ54" s="806"/>
      <c r="DA54" s="806"/>
      <c r="DB54" s="806"/>
      <c r="DC54" s="806"/>
      <c r="DD54" s="806"/>
      <c r="DE54" s="806"/>
      <c r="DF54" s="806"/>
      <c r="DG54" s="806"/>
      <c r="DH54" s="806"/>
      <c r="DI54" s="806"/>
      <c r="DJ54" s="806"/>
      <c r="DK54" s="806"/>
      <c r="DL54" s="806"/>
      <c r="DM54" s="806"/>
      <c r="DN54" s="806"/>
      <c r="DO54" s="806"/>
      <c r="DP54" s="806"/>
      <c r="DQ54" s="806"/>
      <c r="DR54" s="806"/>
      <c r="DS54" s="806"/>
      <c r="DT54" s="806"/>
      <c r="DU54" s="806"/>
      <c r="DV54" s="806"/>
      <c r="DW54" s="806"/>
      <c r="DX54" s="806"/>
      <c r="DY54" s="806"/>
      <c r="DZ54" s="806"/>
      <c r="EA54" s="806"/>
      <c r="EB54" s="806"/>
      <c r="EC54" s="806"/>
      <c r="ED54" s="806"/>
      <c r="EE54" s="806"/>
      <c r="EF54" s="806"/>
      <c r="EG54" s="806"/>
      <c r="EH54" s="806"/>
      <c r="EI54" s="806"/>
      <c r="EJ54" s="806"/>
      <c r="EK54" s="806"/>
      <c r="EL54" s="806"/>
      <c r="EM54" s="806"/>
      <c r="EN54" s="806"/>
      <c r="EO54" s="806"/>
      <c r="EP54" s="806"/>
      <c r="EQ54" s="806"/>
      <c r="ER54" s="806"/>
      <c r="ES54" s="806"/>
      <c r="ET54" s="806"/>
      <c r="EU54" s="806"/>
      <c r="EV54" s="806"/>
      <c r="EW54" s="806"/>
      <c r="EX54" s="806"/>
      <c r="EY54" s="806"/>
      <c r="EZ54" s="806"/>
      <c r="FA54" s="806"/>
      <c r="FB54" s="806"/>
      <c r="FC54" s="806"/>
      <c r="FD54" s="806"/>
      <c r="FE54" s="806"/>
      <c r="FF54" s="806"/>
      <c r="FG54" s="806"/>
      <c r="FH54" s="806"/>
      <c r="FI54" s="806"/>
      <c r="FJ54" s="806"/>
      <c r="FK54" s="806"/>
      <c r="FL54" s="806"/>
      <c r="FM54" s="806"/>
      <c r="FN54" s="806"/>
      <c r="FO54" s="806"/>
      <c r="FP54" s="806"/>
      <c r="FQ54" s="806"/>
      <c r="FR54" s="806"/>
      <c r="FS54" s="806"/>
      <c r="FT54" s="806"/>
      <c r="FU54" s="806"/>
      <c r="FV54" s="806"/>
      <c r="FW54" s="806"/>
      <c r="FX54" s="806"/>
      <c r="FY54" s="806"/>
      <c r="FZ54" s="806"/>
      <c r="GA54" s="806"/>
      <c r="GB54" s="806"/>
      <c r="GC54" s="806"/>
      <c r="GD54" s="806"/>
      <c r="GE54" s="806"/>
      <c r="GF54" s="806"/>
      <c r="GG54" s="806"/>
      <c r="GH54" s="806"/>
      <c r="GI54" s="806"/>
      <c r="GJ54" s="806"/>
      <c r="GK54" s="806"/>
      <c r="GL54" s="806"/>
      <c r="GM54" s="806"/>
      <c r="GN54" s="806"/>
      <c r="GO54" s="806"/>
      <c r="GP54" s="806"/>
      <c r="GQ54" s="806"/>
      <c r="GR54" s="806"/>
      <c r="GS54" s="806"/>
      <c r="GT54" s="806"/>
      <c r="GU54" s="806"/>
      <c r="GV54" s="806"/>
      <c r="GW54" s="806"/>
      <c r="GX54" s="806"/>
      <c r="GY54" s="806"/>
      <c r="GZ54" s="806"/>
      <c r="HA54" s="806"/>
      <c r="HB54" s="806"/>
      <c r="HC54" s="806"/>
      <c r="HD54" s="806"/>
      <c r="HE54" s="806"/>
      <c r="HF54" s="806"/>
      <c r="HG54" s="806"/>
      <c r="HH54" s="806"/>
      <c r="HI54" s="806"/>
      <c r="HJ54" s="806"/>
      <c r="HK54" s="806"/>
      <c r="HL54" s="806"/>
      <c r="HM54" s="806"/>
      <c r="HN54" s="806"/>
      <c r="HO54" s="806"/>
      <c r="HP54" s="806"/>
      <c r="HQ54" s="806"/>
      <c r="HR54" s="806"/>
      <c r="HS54" s="806"/>
      <c r="HT54" s="806"/>
      <c r="HU54" s="806"/>
      <c r="HV54" s="806"/>
      <c r="HW54" s="806"/>
      <c r="HX54" s="806"/>
      <c r="HY54" s="806"/>
      <c r="HZ54" s="806"/>
      <c r="IA54" s="806"/>
      <c r="IB54" s="806"/>
      <c r="IC54" s="806"/>
      <c r="ID54" s="806"/>
      <c r="IE54" s="806"/>
      <c r="IF54" s="806"/>
      <c r="IG54" s="806"/>
      <c r="IH54" s="806"/>
      <c r="II54" s="806"/>
      <c r="IJ54" s="806"/>
      <c r="IK54" s="806"/>
      <c r="IL54" s="806"/>
      <c r="IM54" s="806"/>
      <c r="IN54" s="806"/>
      <c r="IO54" s="806"/>
      <c r="IP54" s="806"/>
      <c r="IQ54" s="806"/>
      <c r="IR54" s="806"/>
      <c r="IS54" s="806"/>
      <c r="IT54" s="806"/>
      <c r="IU54" s="806"/>
      <c r="IV54" s="806"/>
    </row>
    <row r="55" spans="1:256" ht="18">
      <c r="A55" s="817"/>
      <c r="B55" s="806"/>
      <c r="C55" s="806"/>
      <c r="D55" s="806"/>
      <c r="E55" s="806"/>
      <c r="F55" s="806"/>
      <c r="G55" s="806"/>
      <c r="H55" s="806"/>
      <c r="I55" s="806"/>
      <c r="J55" s="806"/>
      <c r="K55" s="806"/>
      <c r="L55" s="806"/>
      <c r="M55" s="806"/>
      <c r="N55" s="806"/>
      <c r="O55" s="819"/>
      <c r="P55" s="819"/>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6"/>
      <c r="BA55" s="806"/>
      <c r="BB55" s="806"/>
      <c r="BC55" s="806"/>
      <c r="BD55" s="806"/>
      <c r="BE55" s="806"/>
      <c r="BF55" s="806"/>
      <c r="BG55" s="806"/>
      <c r="BH55" s="806"/>
      <c r="BI55" s="806"/>
      <c r="BJ55" s="806"/>
      <c r="BK55" s="806"/>
      <c r="BL55" s="806"/>
      <c r="BM55" s="806"/>
      <c r="BN55" s="806"/>
      <c r="BO55" s="806"/>
      <c r="BP55" s="806"/>
      <c r="BQ55" s="806"/>
      <c r="BR55" s="806"/>
      <c r="BS55" s="806"/>
      <c r="BT55" s="806"/>
      <c r="BU55" s="806"/>
      <c r="BV55" s="806"/>
      <c r="BW55" s="806"/>
      <c r="BX55" s="806"/>
      <c r="BY55" s="806"/>
      <c r="BZ55" s="806"/>
      <c r="CA55" s="806"/>
      <c r="CB55" s="806"/>
      <c r="CC55" s="806"/>
      <c r="CD55" s="806"/>
      <c r="CE55" s="806"/>
      <c r="CF55" s="806"/>
      <c r="CG55" s="806"/>
      <c r="CH55" s="806"/>
      <c r="CI55" s="806"/>
      <c r="CJ55" s="806"/>
      <c r="CK55" s="806"/>
      <c r="CL55" s="806"/>
      <c r="CM55" s="806"/>
      <c r="CN55" s="806"/>
      <c r="CO55" s="806"/>
      <c r="CP55" s="806"/>
      <c r="CQ55" s="806"/>
      <c r="CR55" s="806"/>
      <c r="CS55" s="806"/>
      <c r="CT55" s="806"/>
      <c r="CU55" s="806"/>
      <c r="CV55" s="806"/>
      <c r="CW55" s="806"/>
      <c r="CX55" s="806"/>
      <c r="CY55" s="806"/>
      <c r="CZ55" s="806"/>
      <c r="DA55" s="806"/>
      <c r="DB55" s="806"/>
      <c r="DC55" s="806"/>
      <c r="DD55" s="806"/>
      <c r="DE55" s="806"/>
      <c r="DF55" s="806"/>
      <c r="DG55" s="806"/>
      <c r="DH55" s="806"/>
      <c r="DI55" s="806"/>
      <c r="DJ55" s="806"/>
      <c r="DK55" s="806"/>
      <c r="DL55" s="806"/>
      <c r="DM55" s="806"/>
      <c r="DN55" s="806"/>
      <c r="DO55" s="806"/>
      <c r="DP55" s="806"/>
      <c r="DQ55" s="806"/>
      <c r="DR55" s="806"/>
      <c r="DS55" s="806"/>
      <c r="DT55" s="806"/>
      <c r="DU55" s="806"/>
      <c r="DV55" s="806"/>
      <c r="DW55" s="806"/>
      <c r="DX55" s="806"/>
      <c r="DY55" s="806"/>
      <c r="DZ55" s="806"/>
      <c r="EA55" s="806"/>
      <c r="EB55" s="806"/>
      <c r="EC55" s="806"/>
      <c r="ED55" s="806"/>
      <c r="EE55" s="806"/>
      <c r="EF55" s="806"/>
      <c r="EG55" s="806"/>
      <c r="EH55" s="806"/>
      <c r="EI55" s="806"/>
      <c r="EJ55" s="806"/>
      <c r="EK55" s="806"/>
      <c r="EL55" s="806"/>
      <c r="EM55" s="806"/>
      <c r="EN55" s="806"/>
      <c r="EO55" s="806"/>
      <c r="EP55" s="806"/>
      <c r="EQ55" s="806"/>
      <c r="ER55" s="806"/>
      <c r="ES55" s="806"/>
      <c r="ET55" s="806"/>
      <c r="EU55" s="806"/>
      <c r="EV55" s="806"/>
      <c r="EW55" s="806"/>
      <c r="EX55" s="806"/>
      <c r="EY55" s="806"/>
      <c r="EZ55" s="806"/>
      <c r="FA55" s="806"/>
      <c r="FB55" s="806"/>
      <c r="FC55" s="806"/>
      <c r="FD55" s="806"/>
      <c r="FE55" s="806"/>
      <c r="FF55" s="806"/>
      <c r="FG55" s="806"/>
      <c r="FH55" s="806"/>
      <c r="FI55" s="806"/>
      <c r="FJ55" s="806"/>
      <c r="FK55" s="806"/>
      <c r="FL55" s="806"/>
      <c r="FM55" s="806"/>
      <c r="FN55" s="806"/>
      <c r="FO55" s="806"/>
      <c r="FP55" s="806"/>
      <c r="FQ55" s="806"/>
      <c r="FR55" s="806"/>
      <c r="FS55" s="806"/>
      <c r="FT55" s="806"/>
      <c r="FU55" s="806"/>
      <c r="FV55" s="806"/>
      <c r="FW55" s="806"/>
      <c r="FX55" s="806"/>
      <c r="FY55" s="806"/>
      <c r="FZ55" s="806"/>
      <c r="GA55" s="806"/>
      <c r="GB55" s="806"/>
      <c r="GC55" s="806"/>
      <c r="GD55" s="806"/>
      <c r="GE55" s="806"/>
      <c r="GF55" s="806"/>
      <c r="GG55" s="806"/>
      <c r="GH55" s="806"/>
      <c r="GI55" s="806"/>
      <c r="GJ55" s="806"/>
      <c r="GK55" s="806"/>
      <c r="GL55" s="806"/>
      <c r="GM55" s="806"/>
      <c r="GN55" s="806"/>
      <c r="GO55" s="806"/>
      <c r="GP55" s="806"/>
      <c r="GQ55" s="806"/>
      <c r="GR55" s="806"/>
      <c r="GS55" s="806"/>
      <c r="GT55" s="806"/>
      <c r="GU55" s="806"/>
      <c r="GV55" s="806"/>
      <c r="GW55" s="806"/>
      <c r="GX55" s="806"/>
      <c r="GY55" s="806"/>
      <c r="GZ55" s="806"/>
      <c r="HA55" s="806"/>
      <c r="HB55" s="806"/>
      <c r="HC55" s="806"/>
      <c r="HD55" s="806"/>
      <c r="HE55" s="806"/>
      <c r="HF55" s="806"/>
      <c r="HG55" s="806"/>
      <c r="HH55" s="806"/>
      <c r="HI55" s="806"/>
      <c r="HJ55" s="806"/>
      <c r="HK55" s="806"/>
      <c r="HL55" s="806"/>
      <c r="HM55" s="806"/>
      <c r="HN55" s="806"/>
      <c r="HO55" s="806"/>
      <c r="HP55" s="806"/>
      <c r="HQ55" s="806"/>
      <c r="HR55" s="806"/>
      <c r="HS55" s="806"/>
      <c r="HT55" s="806"/>
      <c r="HU55" s="806"/>
      <c r="HV55" s="806"/>
      <c r="HW55" s="806"/>
      <c r="HX55" s="806"/>
      <c r="HY55" s="806"/>
      <c r="HZ55" s="806"/>
      <c r="IA55" s="806"/>
      <c r="IB55" s="806"/>
      <c r="IC55" s="806"/>
      <c r="ID55" s="806"/>
      <c r="IE55" s="806"/>
      <c r="IF55" s="806"/>
      <c r="IG55" s="806"/>
      <c r="IH55" s="806"/>
      <c r="II55" s="806"/>
      <c r="IJ55" s="806"/>
      <c r="IK55" s="806"/>
      <c r="IL55" s="806"/>
      <c r="IM55" s="806"/>
      <c r="IN55" s="806"/>
      <c r="IO55" s="806"/>
      <c r="IP55" s="806"/>
      <c r="IQ55" s="806"/>
      <c r="IR55" s="806"/>
      <c r="IS55" s="806"/>
      <c r="IT55" s="806"/>
      <c r="IU55" s="806"/>
      <c r="IV55" s="806"/>
    </row>
    <row r="56" spans="1:256" ht="18">
      <c r="A56" s="817"/>
      <c r="B56" s="806"/>
      <c r="C56" s="806"/>
      <c r="D56" s="806"/>
      <c r="E56" s="806"/>
      <c r="F56" s="806"/>
      <c r="G56" s="806"/>
      <c r="H56" s="806"/>
      <c r="I56" s="806"/>
      <c r="J56" s="806"/>
      <c r="K56" s="806"/>
      <c r="L56" s="806"/>
      <c r="M56" s="806"/>
      <c r="N56" s="806"/>
      <c r="O56" s="819"/>
      <c r="P56" s="819"/>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6"/>
      <c r="BA56" s="806"/>
      <c r="BB56" s="806"/>
      <c r="BC56" s="806"/>
      <c r="BD56" s="806"/>
      <c r="BE56" s="806"/>
      <c r="BF56" s="806"/>
      <c r="BG56" s="806"/>
      <c r="BH56" s="806"/>
      <c r="BI56" s="806"/>
      <c r="BJ56" s="806"/>
      <c r="BK56" s="806"/>
      <c r="BL56" s="806"/>
      <c r="BM56" s="806"/>
      <c r="BN56" s="806"/>
      <c r="BO56" s="806"/>
      <c r="BP56" s="806"/>
      <c r="BQ56" s="806"/>
      <c r="BR56" s="806"/>
      <c r="BS56" s="806"/>
      <c r="BT56" s="806"/>
      <c r="BU56" s="806"/>
      <c r="BV56" s="806"/>
      <c r="BW56" s="806"/>
      <c r="BX56" s="806"/>
      <c r="BY56" s="806"/>
      <c r="BZ56" s="806"/>
      <c r="CA56" s="806"/>
      <c r="CB56" s="806"/>
      <c r="CC56" s="806"/>
      <c r="CD56" s="806"/>
      <c r="CE56" s="806"/>
      <c r="CF56" s="806"/>
      <c r="CG56" s="806"/>
      <c r="CH56" s="806"/>
      <c r="CI56" s="806"/>
      <c r="CJ56" s="806"/>
      <c r="CK56" s="806"/>
      <c r="CL56" s="806"/>
      <c r="CM56" s="806"/>
      <c r="CN56" s="806"/>
      <c r="CO56" s="806"/>
      <c r="CP56" s="806"/>
      <c r="CQ56" s="806"/>
      <c r="CR56" s="806"/>
      <c r="CS56" s="806"/>
      <c r="CT56" s="806"/>
      <c r="CU56" s="806"/>
      <c r="CV56" s="806"/>
      <c r="CW56" s="806"/>
      <c r="CX56" s="806"/>
      <c r="CY56" s="806"/>
      <c r="CZ56" s="806"/>
      <c r="DA56" s="806"/>
      <c r="DB56" s="806"/>
      <c r="DC56" s="806"/>
      <c r="DD56" s="806"/>
      <c r="DE56" s="806"/>
      <c r="DF56" s="806"/>
      <c r="DG56" s="806"/>
      <c r="DH56" s="806"/>
      <c r="DI56" s="806"/>
      <c r="DJ56" s="806"/>
      <c r="DK56" s="806"/>
      <c r="DL56" s="806"/>
      <c r="DM56" s="806"/>
      <c r="DN56" s="806"/>
      <c r="DO56" s="806"/>
      <c r="DP56" s="806"/>
      <c r="DQ56" s="806"/>
      <c r="DR56" s="806"/>
      <c r="DS56" s="806"/>
      <c r="DT56" s="806"/>
      <c r="DU56" s="806"/>
      <c r="DV56" s="806"/>
      <c r="DW56" s="806"/>
      <c r="DX56" s="806"/>
      <c r="DY56" s="806"/>
      <c r="DZ56" s="806"/>
      <c r="EA56" s="806"/>
      <c r="EB56" s="806"/>
      <c r="EC56" s="806"/>
      <c r="ED56" s="806"/>
      <c r="EE56" s="806"/>
      <c r="EF56" s="806"/>
      <c r="EG56" s="806"/>
      <c r="EH56" s="806"/>
      <c r="EI56" s="806"/>
      <c r="EJ56" s="806"/>
      <c r="EK56" s="806"/>
      <c r="EL56" s="806"/>
      <c r="EM56" s="806"/>
      <c r="EN56" s="806"/>
      <c r="EO56" s="806"/>
      <c r="EP56" s="806"/>
      <c r="EQ56" s="806"/>
      <c r="ER56" s="806"/>
      <c r="ES56" s="806"/>
      <c r="ET56" s="806"/>
      <c r="EU56" s="806"/>
      <c r="EV56" s="806"/>
      <c r="EW56" s="806"/>
      <c r="EX56" s="806"/>
      <c r="EY56" s="806"/>
      <c r="EZ56" s="806"/>
      <c r="FA56" s="806"/>
      <c r="FB56" s="806"/>
      <c r="FC56" s="806"/>
      <c r="FD56" s="806"/>
      <c r="FE56" s="806"/>
      <c r="FF56" s="806"/>
      <c r="FG56" s="806"/>
      <c r="FH56" s="806"/>
      <c r="FI56" s="806"/>
      <c r="FJ56" s="806"/>
      <c r="FK56" s="806"/>
      <c r="FL56" s="806"/>
      <c r="FM56" s="806"/>
      <c r="FN56" s="806"/>
      <c r="FO56" s="806"/>
      <c r="FP56" s="806"/>
      <c r="FQ56" s="806"/>
      <c r="FR56" s="806"/>
      <c r="FS56" s="806"/>
      <c r="FT56" s="806"/>
      <c r="FU56" s="806"/>
      <c r="FV56" s="806"/>
      <c r="FW56" s="806"/>
      <c r="FX56" s="806"/>
      <c r="FY56" s="806"/>
      <c r="FZ56" s="806"/>
      <c r="GA56" s="806"/>
      <c r="GB56" s="806"/>
      <c r="GC56" s="806"/>
      <c r="GD56" s="806"/>
      <c r="GE56" s="806"/>
      <c r="GF56" s="806"/>
      <c r="GG56" s="806"/>
      <c r="GH56" s="806"/>
      <c r="GI56" s="806"/>
      <c r="GJ56" s="806"/>
      <c r="GK56" s="806"/>
      <c r="GL56" s="806"/>
      <c r="GM56" s="806"/>
      <c r="GN56" s="806"/>
      <c r="GO56" s="806"/>
      <c r="GP56" s="806"/>
      <c r="GQ56" s="806"/>
      <c r="GR56" s="806"/>
      <c r="GS56" s="806"/>
      <c r="GT56" s="806"/>
      <c r="GU56" s="806"/>
      <c r="GV56" s="806"/>
      <c r="GW56" s="806"/>
      <c r="GX56" s="806"/>
      <c r="GY56" s="806"/>
      <c r="GZ56" s="806"/>
      <c r="HA56" s="806"/>
      <c r="HB56" s="806"/>
      <c r="HC56" s="806"/>
      <c r="HD56" s="806"/>
      <c r="HE56" s="806"/>
      <c r="HF56" s="806"/>
      <c r="HG56" s="806"/>
      <c r="HH56" s="806"/>
      <c r="HI56" s="806"/>
      <c r="HJ56" s="806"/>
      <c r="HK56" s="806"/>
      <c r="HL56" s="806"/>
      <c r="HM56" s="806"/>
      <c r="HN56" s="806"/>
      <c r="HO56" s="806"/>
      <c r="HP56" s="806"/>
      <c r="HQ56" s="806"/>
      <c r="HR56" s="806"/>
      <c r="HS56" s="806"/>
      <c r="HT56" s="806"/>
      <c r="HU56" s="806"/>
      <c r="HV56" s="806"/>
      <c r="HW56" s="806"/>
      <c r="HX56" s="806"/>
      <c r="HY56" s="806"/>
      <c r="HZ56" s="806"/>
      <c r="IA56" s="806"/>
      <c r="IB56" s="806"/>
      <c r="IC56" s="806"/>
      <c r="ID56" s="806"/>
      <c r="IE56" s="806"/>
      <c r="IF56" s="806"/>
      <c r="IG56" s="806"/>
      <c r="IH56" s="806"/>
      <c r="II56" s="806"/>
      <c r="IJ56" s="806"/>
      <c r="IK56" s="806"/>
      <c r="IL56" s="806"/>
      <c r="IM56" s="806"/>
      <c r="IN56" s="806"/>
      <c r="IO56" s="806"/>
      <c r="IP56" s="806"/>
      <c r="IQ56" s="806"/>
      <c r="IR56" s="806"/>
      <c r="IS56" s="806"/>
      <c r="IT56" s="806"/>
      <c r="IU56" s="806"/>
      <c r="IV56" s="806"/>
    </row>
    <row r="57" spans="1:256" ht="18">
      <c r="A57" s="806"/>
      <c r="B57" s="806"/>
      <c r="C57" s="806"/>
      <c r="D57" s="806"/>
      <c r="E57" s="806"/>
      <c r="F57" s="806"/>
      <c r="G57" s="806"/>
      <c r="H57" s="806"/>
      <c r="I57" s="806"/>
      <c r="J57" s="806"/>
      <c r="K57" s="806"/>
      <c r="L57" s="806"/>
      <c r="M57" s="806"/>
      <c r="N57" s="806"/>
      <c r="O57" s="819"/>
      <c r="P57" s="819"/>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6"/>
      <c r="AY57" s="806"/>
      <c r="AZ57" s="806"/>
      <c r="BA57" s="806"/>
      <c r="BB57" s="806"/>
      <c r="BC57" s="806"/>
      <c r="BD57" s="806"/>
      <c r="BE57" s="806"/>
      <c r="BF57" s="806"/>
      <c r="BG57" s="806"/>
      <c r="BH57" s="806"/>
      <c r="BI57" s="806"/>
      <c r="BJ57" s="806"/>
      <c r="BK57" s="806"/>
      <c r="BL57" s="806"/>
      <c r="BM57" s="806"/>
      <c r="BN57" s="806"/>
      <c r="BO57" s="806"/>
      <c r="BP57" s="806"/>
      <c r="BQ57" s="806"/>
      <c r="BR57" s="806"/>
      <c r="BS57" s="806"/>
      <c r="BT57" s="806"/>
      <c r="BU57" s="806"/>
      <c r="BV57" s="806"/>
      <c r="BW57" s="806"/>
      <c r="BX57" s="806"/>
      <c r="BY57" s="806"/>
      <c r="BZ57" s="806"/>
      <c r="CA57" s="806"/>
      <c r="CB57" s="806"/>
      <c r="CC57" s="806"/>
      <c r="CD57" s="806"/>
      <c r="CE57" s="806"/>
      <c r="CF57" s="806"/>
      <c r="CG57" s="806"/>
      <c r="CH57" s="806"/>
      <c r="CI57" s="806"/>
      <c r="CJ57" s="806"/>
      <c r="CK57" s="806"/>
      <c r="CL57" s="806"/>
      <c r="CM57" s="806"/>
      <c r="CN57" s="806"/>
      <c r="CO57" s="806"/>
      <c r="CP57" s="806"/>
      <c r="CQ57" s="806"/>
      <c r="CR57" s="806"/>
      <c r="CS57" s="806"/>
      <c r="CT57" s="806"/>
      <c r="CU57" s="806"/>
      <c r="CV57" s="806"/>
      <c r="CW57" s="806"/>
      <c r="CX57" s="806"/>
      <c r="CY57" s="806"/>
      <c r="CZ57" s="806"/>
      <c r="DA57" s="806"/>
      <c r="DB57" s="806"/>
      <c r="DC57" s="806"/>
      <c r="DD57" s="806"/>
      <c r="DE57" s="806"/>
      <c r="DF57" s="806"/>
      <c r="DG57" s="806"/>
      <c r="DH57" s="806"/>
      <c r="DI57" s="806"/>
      <c r="DJ57" s="806"/>
      <c r="DK57" s="806"/>
      <c r="DL57" s="806"/>
      <c r="DM57" s="806"/>
      <c r="DN57" s="806"/>
      <c r="DO57" s="806"/>
      <c r="DP57" s="806"/>
      <c r="DQ57" s="806"/>
      <c r="DR57" s="806"/>
      <c r="DS57" s="806"/>
      <c r="DT57" s="806"/>
      <c r="DU57" s="806"/>
      <c r="DV57" s="806"/>
      <c r="DW57" s="806"/>
      <c r="DX57" s="806"/>
      <c r="DY57" s="806"/>
      <c r="DZ57" s="806"/>
      <c r="EA57" s="806"/>
      <c r="EB57" s="806"/>
      <c r="EC57" s="806"/>
      <c r="ED57" s="806"/>
      <c r="EE57" s="806"/>
      <c r="EF57" s="806"/>
      <c r="EG57" s="806"/>
      <c r="EH57" s="806"/>
      <c r="EI57" s="806"/>
      <c r="EJ57" s="806"/>
      <c r="EK57" s="806"/>
      <c r="EL57" s="806"/>
      <c r="EM57" s="806"/>
      <c r="EN57" s="806"/>
      <c r="EO57" s="806"/>
      <c r="EP57" s="806"/>
      <c r="EQ57" s="806"/>
      <c r="ER57" s="806"/>
      <c r="ES57" s="806"/>
      <c r="ET57" s="806"/>
      <c r="EU57" s="806"/>
      <c r="EV57" s="806"/>
      <c r="EW57" s="806"/>
      <c r="EX57" s="806"/>
      <c r="EY57" s="806"/>
      <c r="EZ57" s="806"/>
      <c r="FA57" s="806"/>
      <c r="FB57" s="806"/>
      <c r="FC57" s="806"/>
      <c r="FD57" s="806"/>
      <c r="FE57" s="806"/>
      <c r="FF57" s="806"/>
      <c r="FG57" s="806"/>
      <c r="FH57" s="806"/>
      <c r="FI57" s="806"/>
      <c r="FJ57" s="806"/>
      <c r="FK57" s="806"/>
      <c r="FL57" s="806"/>
      <c r="FM57" s="806"/>
      <c r="FN57" s="806"/>
      <c r="FO57" s="806"/>
      <c r="FP57" s="806"/>
      <c r="FQ57" s="806"/>
      <c r="FR57" s="806"/>
      <c r="FS57" s="806"/>
      <c r="FT57" s="806"/>
      <c r="FU57" s="806"/>
      <c r="FV57" s="806"/>
      <c r="FW57" s="806"/>
      <c r="FX57" s="806"/>
      <c r="FY57" s="806"/>
      <c r="FZ57" s="806"/>
      <c r="GA57" s="806"/>
      <c r="GB57" s="806"/>
      <c r="GC57" s="806"/>
      <c r="GD57" s="806"/>
      <c r="GE57" s="806"/>
      <c r="GF57" s="806"/>
      <c r="GG57" s="806"/>
      <c r="GH57" s="806"/>
      <c r="GI57" s="806"/>
      <c r="GJ57" s="806"/>
      <c r="GK57" s="806"/>
      <c r="GL57" s="806"/>
      <c r="GM57" s="806"/>
      <c r="GN57" s="806"/>
      <c r="GO57" s="806"/>
      <c r="GP57" s="806"/>
      <c r="GQ57" s="806"/>
      <c r="GR57" s="806"/>
      <c r="GS57" s="806"/>
      <c r="GT57" s="806"/>
      <c r="GU57" s="806"/>
      <c r="GV57" s="806"/>
      <c r="GW57" s="806"/>
      <c r="GX57" s="806"/>
      <c r="GY57" s="806"/>
      <c r="GZ57" s="806"/>
      <c r="HA57" s="806"/>
      <c r="HB57" s="806"/>
      <c r="HC57" s="806"/>
      <c r="HD57" s="806"/>
      <c r="HE57" s="806"/>
      <c r="HF57" s="806"/>
      <c r="HG57" s="806"/>
      <c r="HH57" s="806"/>
      <c r="HI57" s="806"/>
      <c r="HJ57" s="806"/>
      <c r="HK57" s="806"/>
      <c r="HL57" s="806"/>
      <c r="HM57" s="806"/>
      <c r="HN57" s="806"/>
      <c r="HO57" s="806"/>
      <c r="HP57" s="806"/>
      <c r="HQ57" s="806"/>
      <c r="HR57" s="806"/>
      <c r="HS57" s="806"/>
      <c r="HT57" s="806"/>
      <c r="HU57" s="806"/>
      <c r="HV57" s="806"/>
      <c r="HW57" s="806"/>
      <c r="HX57" s="806"/>
      <c r="HY57" s="806"/>
      <c r="HZ57" s="806"/>
      <c r="IA57" s="806"/>
      <c r="IB57" s="806"/>
      <c r="IC57" s="806"/>
      <c r="ID57" s="806"/>
      <c r="IE57" s="806"/>
      <c r="IF57" s="806"/>
      <c r="IG57" s="806"/>
      <c r="IH57" s="806"/>
      <c r="II57" s="806"/>
      <c r="IJ57" s="806"/>
      <c r="IK57" s="806"/>
      <c r="IL57" s="806"/>
      <c r="IM57" s="806"/>
      <c r="IN57" s="806"/>
      <c r="IO57" s="806"/>
      <c r="IP57" s="806"/>
      <c r="IQ57" s="806"/>
      <c r="IR57" s="806"/>
      <c r="IS57" s="806"/>
      <c r="IT57" s="806"/>
      <c r="IU57" s="806"/>
      <c r="IV57" s="806"/>
    </row>
    <row r="58" spans="1:256" ht="18">
      <c r="A58" s="806"/>
      <c r="B58" s="806"/>
      <c r="C58" s="806"/>
      <c r="D58" s="806"/>
      <c r="E58" s="806"/>
      <c r="F58" s="806"/>
      <c r="G58" s="806"/>
      <c r="H58" s="806"/>
      <c r="I58" s="806"/>
      <c r="J58" s="806"/>
      <c r="K58" s="806"/>
      <c r="L58" s="806"/>
      <c r="M58" s="806"/>
      <c r="N58" s="806"/>
      <c r="O58" s="819"/>
      <c r="P58" s="819"/>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6"/>
      <c r="AY58" s="806"/>
      <c r="AZ58" s="806"/>
      <c r="BA58" s="806"/>
      <c r="BB58" s="806"/>
      <c r="BC58" s="806"/>
      <c r="BD58" s="806"/>
      <c r="BE58" s="806"/>
      <c r="BF58" s="806"/>
      <c r="BG58" s="806"/>
      <c r="BH58" s="806"/>
      <c r="BI58" s="806"/>
      <c r="BJ58" s="806"/>
      <c r="BK58" s="806"/>
      <c r="BL58" s="806"/>
      <c r="BM58" s="806"/>
      <c r="BN58" s="806"/>
      <c r="BO58" s="806"/>
      <c r="BP58" s="806"/>
      <c r="BQ58" s="806"/>
      <c r="BR58" s="806"/>
      <c r="BS58" s="806"/>
      <c r="BT58" s="806"/>
      <c r="BU58" s="806"/>
      <c r="BV58" s="806"/>
      <c r="BW58" s="806"/>
      <c r="BX58" s="806"/>
      <c r="BY58" s="806"/>
      <c r="BZ58" s="806"/>
      <c r="CA58" s="806"/>
      <c r="CB58" s="806"/>
      <c r="CC58" s="806"/>
      <c r="CD58" s="806"/>
      <c r="CE58" s="806"/>
      <c r="CF58" s="806"/>
      <c r="CG58" s="806"/>
      <c r="CH58" s="806"/>
      <c r="CI58" s="806"/>
      <c r="CJ58" s="806"/>
      <c r="CK58" s="806"/>
      <c r="CL58" s="806"/>
      <c r="CM58" s="806"/>
      <c r="CN58" s="806"/>
      <c r="CO58" s="806"/>
      <c r="CP58" s="806"/>
      <c r="CQ58" s="806"/>
      <c r="CR58" s="806"/>
      <c r="CS58" s="806"/>
      <c r="CT58" s="806"/>
      <c r="CU58" s="806"/>
      <c r="CV58" s="806"/>
      <c r="CW58" s="806"/>
      <c r="CX58" s="806"/>
      <c r="CY58" s="806"/>
      <c r="CZ58" s="806"/>
      <c r="DA58" s="806"/>
      <c r="DB58" s="806"/>
      <c r="DC58" s="806"/>
      <c r="DD58" s="806"/>
      <c r="DE58" s="806"/>
      <c r="DF58" s="806"/>
      <c r="DG58" s="806"/>
      <c r="DH58" s="806"/>
      <c r="DI58" s="806"/>
      <c r="DJ58" s="806"/>
      <c r="DK58" s="806"/>
      <c r="DL58" s="806"/>
      <c r="DM58" s="806"/>
      <c r="DN58" s="806"/>
      <c r="DO58" s="806"/>
      <c r="DP58" s="806"/>
      <c r="DQ58" s="806"/>
      <c r="DR58" s="806"/>
      <c r="DS58" s="806"/>
      <c r="DT58" s="806"/>
      <c r="DU58" s="806"/>
      <c r="DV58" s="806"/>
      <c r="DW58" s="806"/>
      <c r="DX58" s="806"/>
      <c r="DY58" s="806"/>
      <c r="DZ58" s="806"/>
      <c r="EA58" s="806"/>
      <c r="EB58" s="806"/>
      <c r="EC58" s="806"/>
      <c r="ED58" s="806"/>
      <c r="EE58" s="806"/>
      <c r="EF58" s="806"/>
      <c r="EG58" s="806"/>
      <c r="EH58" s="806"/>
      <c r="EI58" s="806"/>
      <c r="EJ58" s="806"/>
      <c r="EK58" s="806"/>
      <c r="EL58" s="806"/>
      <c r="EM58" s="806"/>
      <c r="EN58" s="806"/>
      <c r="EO58" s="806"/>
      <c r="EP58" s="806"/>
      <c r="EQ58" s="806"/>
      <c r="ER58" s="806"/>
      <c r="ES58" s="806"/>
      <c r="ET58" s="806"/>
      <c r="EU58" s="806"/>
      <c r="EV58" s="806"/>
      <c r="EW58" s="806"/>
      <c r="EX58" s="806"/>
      <c r="EY58" s="806"/>
      <c r="EZ58" s="806"/>
      <c r="FA58" s="806"/>
      <c r="FB58" s="806"/>
      <c r="FC58" s="806"/>
      <c r="FD58" s="806"/>
      <c r="FE58" s="806"/>
      <c r="FF58" s="806"/>
      <c r="FG58" s="806"/>
      <c r="FH58" s="806"/>
      <c r="FI58" s="806"/>
      <c r="FJ58" s="806"/>
      <c r="FK58" s="806"/>
      <c r="FL58" s="806"/>
      <c r="FM58" s="806"/>
      <c r="FN58" s="806"/>
      <c r="FO58" s="806"/>
      <c r="FP58" s="806"/>
      <c r="FQ58" s="806"/>
      <c r="FR58" s="806"/>
      <c r="FS58" s="806"/>
      <c r="FT58" s="806"/>
      <c r="FU58" s="806"/>
      <c r="FV58" s="806"/>
      <c r="FW58" s="806"/>
      <c r="FX58" s="806"/>
      <c r="FY58" s="806"/>
      <c r="FZ58" s="806"/>
      <c r="GA58" s="806"/>
      <c r="GB58" s="806"/>
      <c r="GC58" s="806"/>
      <c r="GD58" s="806"/>
      <c r="GE58" s="806"/>
      <c r="GF58" s="806"/>
      <c r="GG58" s="806"/>
      <c r="GH58" s="806"/>
      <c r="GI58" s="806"/>
      <c r="GJ58" s="806"/>
      <c r="GK58" s="806"/>
      <c r="GL58" s="806"/>
      <c r="GM58" s="806"/>
      <c r="GN58" s="806"/>
      <c r="GO58" s="806"/>
      <c r="GP58" s="806"/>
      <c r="GQ58" s="806"/>
      <c r="GR58" s="806"/>
      <c r="GS58" s="806"/>
      <c r="GT58" s="806"/>
      <c r="GU58" s="806"/>
      <c r="GV58" s="806"/>
      <c r="GW58" s="806"/>
      <c r="GX58" s="806"/>
      <c r="GY58" s="806"/>
      <c r="GZ58" s="806"/>
      <c r="HA58" s="806"/>
      <c r="HB58" s="806"/>
      <c r="HC58" s="806"/>
      <c r="HD58" s="806"/>
      <c r="HE58" s="806"/>
      <c r="HF58" s="806"/>
      <c r="HG58" s="806"/>
      <c r="HH58" s="806"/>
      <c r="HI58" s="806"/>
      <c r="HJ58" s="806"/>
      <c r="HK58" s="806"/>
      <c r="HL58" s="806"/>
      <c r="HM58" s="806"/>
      <c r="HN58" s="806"/>
      <c r="HO58" s="806"/>
      <c r="HP58" s="806"/>
      <c r="HQ58" s="806"/>
      <c r="HR58" s="806"/>
      <c r="HS58" s="806"/>
      <c r="HT58" s="806"/>
      <c r="HU58" s="806"/>
      <c r="HV58" s="806"/>
      <c r="HW58" s="806"/>
      <c r="HX58" s="806"/>
      <c r="HY58" s="806"/>
      <c r="HZ58" s="806"/>
      <c r="IA58" s="806"/>
      <c r="IB58" s="806"/>
      <c r="IC58" s="806"/>
      <c r="ID58" s="806"/>
      <c r="IE58" s="806"/>
      <c r="IF58" s="806"/>
      <c r="IG58" s="806"/>
      <c r="IH58" s="806"/>
      <c r="II58" s="806"/>
      <c r="IJ58" s="806"/>
      <c r="IK58" s="806"/>
      <c r="IL58" s="806"/>
      <c r="IM58" s="806"/>
      <c r="IN58" s="806"/>
      <c r="IO58" s="806"/>
      <c r="IP58" s="806"/>
      <c r="IQ58" s="806"/>
      <c r="IR58" s="806"/>
      <c r="IS58" s="806"/>
      <c r="IT58" s="806"/>
      <c r="IU58" s="806"/>
      <c r="IV58" s="806"/>
    </row>
    <row r="59" spans="1:256" ht="18">
      <c r="A59" s="806"/>
      <c r="B59" s="806"/>
      <c r="C59" s="806"/>
      <c r="D59" s="806"/>
      <c r="E59" s="806"/>
      <c r="F59" s="806"/>
      <c r="G59" s="806"/>
      <c r="H59" s="806"/>
      <c r="I59" s="806"/>
      <c r="J59" s="806"/>
      <c r="K59" s="806"/>
      <c r="L59" s="806"/>
      <c r="M59" s="806"/>
      <c r="N59" s="806"/>
      <c r="O59" s="819"/>
      <c r="P59" s="819"/>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6"/>
      <c r="AY59" s="806"/>
      <c r="AZ59" s="806"/>
      <c r="BA59" s="806"/>
      <c r="BB59" s="806"/>
      <c r="BC59" s="806"/>
      <c r="BD59" s="806"/>
      <c r="BE59" s="806"/>
      <c r="BF59" s="806"/>
      <c r="BG59" s="806"/>
      <c r="BH59" s="806"/>
      <c r="BI59" s="806"/>
      <c r="BJ59" s="806"/>
      <c r="BK59" s="806"/>
      <c r="BL59" s="806"/>
      <c r="BM59" s="806"/>
      <c r="BN59" s="806"/>
      <c r="BO59" s="806"/>
      <c r="BP59" s="806"/>
      <c r="BQ59" s="806"/>
      <c r="BR59" s="806"/>
      <c r="BS59" s="806"/>
      <c r="BT59" s="806"/>
      <c r="BU59" s="806"/>
      <c r="BV59" s="806"/>
      <c r="BW59" s="806"/>
      <c r="BX59" s="806"/>
      <c r="BY59" s="806"/>
      <c r="BZ59" s="806"/>
      <c r="CA59" s="806"/>
      <c r="CB59" s="806"/>
      <c r="CC59" s="806"/>
      <c r="CD59" s="806"/>
      <c r="CE59" s="806"/>
      <c r="CF59" s="806"/>
      <c r="CG59" s="806"/>
      <c r="CH59" s="806"/>
      <c r="CI59" s="806"/>
      <c r="CJ59" s="806"/>
      <c r="CK59" s="806"/>
      <c r="CL59" s="806"/>
      <c r="CM59" s="806"/>
      <c r="CN59" s="806"/>
      <c r="CO59" s="806"/>
      <c r="CP59" s="806"/>
      <c r="CQ59" s="806"/>
      <c r="CR59" s="806"/>
      <c r="CS59" s="806"/>
      <c r="CT59" s="806"/>
      <c r="CU59" s="806"/>
      <c r="CV59" s="806"/>
      <c r="CW59" s="806"/>
      <c r="CX59" s="806"/>
      <c r="CY59" s="806"/>
      <c r="CZ59" s="806"/>
      <c r="DA59" s="806"/>
      <c r="DB59" s="806"/>
      <c r="DC59" s="806"/>
      <c r="DD59" s="806"/>
      <c r="DE59" s="806"/>
      <c r="DF59" s="806"/>
      <c r="DG59" s="806"/>
      <c r="DH59" s="806"/>
      <c r="DI59" s="806"/>
      <c r="DJ59" s="806"/>
      <c r="DK59" s="806"/>
      <c r="DL59" s="806"/>
      <c r="DM59" s="806"/>
      <c r="DN59" s="806"/>
      <c r="DO59" s="806"/>
      <c r="DP59" s="806"/>
      <c r="DQ59" s="806"/>
      <c r="DR59" s="806"/>
      <c r="DS59" s="806"/>
      <c r="DT59" s="806"/>
      <c r="DU59" s="806"/>
      <c r="DV59" s="806"/>
      <c r="DW59" s="806"/>
      <c r="DX59" s="806"/>
      <c r="DY59" s="806"/>
      <c r="DZ59" s="806"/>
      <c r="EA59" s="806"/>
      <c r="EB59" s="806"/>
      <c r="EC59" s="806"/>
      <c r="ED59" s="806"/>
      <c r="EE59" s="806"/>
      <c r="EF59" s="806"/>
      <c r="EG59" s="806"/>
      <c r="EH59" s="806"/>
      <c r="EI59" s="806"/>
      <c r="EJ59" s="806"/>
      <c r="EK59" s="806"/>
      <c r="EL59" s="806"/>
      <c r="EM59" s="806"/>
      <c r="EN59" s="806"/>
      <c r="EO59" s="806"/>
      <c r="EP59" s="806"/>
      <c r="EQ59" s="806"/>
      <c r="ER59" s="806"/>
      <c r="ES59" s="806"/>
      <c r="ET59" s="806"/>
      <c r="EU59" s="806"/>
      <c r="EV59" s="806"/>
      <c r="EW59" s="806"/>
      <c r="EX59" s="806"/>
      <c r="EY59" s="806"/>
      <c r="EZ59" s="806"/>
      <c r="FA59" s="806"/>
      <c r="FB59" s="806"/>
      <c r="FC59" s="806"/>
      <c r="FD59" s="806"/>
      <c r="FE59" s="806"/>
      <c r="FF59" s="806"/>
      <c r="FG59" s="806"/>
      <c r="FH59" s="806"/>
      <c r="FI59" s="806"/>
      <c r="FJ59" s="806"/>
      <c r="FK59" s="806"/>
      <c r="FL59" s="806"/>
      <c r="FM59" s="806"/>
      <c r="FN59" s="806"/>
      <c r="FO59" s="806"/>
      <c r="FP59" s="806"/>
      <c r="FQ59" s="806"/>
      <c r="FR59" s="806"/>
      <c r="FS59" s="806"/>
      <c r="FT59" s="806"/>
      <c r="FU59" s="806"/>
      <c r="FV59" s="806"/>
      <c r="FW59" s="806"/>
      <c r="FX59" s="806"/>
      <c r="FY59" s="806"/>
      <c r="FZ59" s="806"/>
      <c r="GA59" s="806"/>
      <c r="GB59" s="806"/>
      <c r="GC59" s="806"/>
      <c r="GD59" s="806"/>
      <c r="GE59" s="806"/>
      <c r="GF59" s="806"/>
      <c r="GG59" s="806"/>
      <c r="GH59" s="806"/>
      <c r="GI59" s="806"/>
      <c r="GJ59" s="806"/>
      <c r="GK59" s="806"/>
      <c r="GL59" s="806"/>
      <c r="GM59" s="806"/>
      <c r="GN59" s="806"/>
      <c r="GO59" s="806"/>
      <c r="GP59" s="806"/>
      <c r="GQ59" s="806"/>
      <c r="GR59" s="806"/>
      <c r="GS59" s="806"/>
      <c r="GT59" s="806"/>
      <c r="GU59" s="806"/>
      <c r="GV59" s="806"/>
      <c r="GW59" s="806"/>
      <c r="GX59" s="806"/>
      <c r="GY59" s="806"/>
      <c r="GZ59" s="806"/>
      <c r="HA59" s="806"/>
      <c r="HB59" s="806"/>
      <c r="HC59" s="806"/>
      <c r="HD59" s="806"/>
      <c r="HE59" s="806"/>
      <c r="HF59" s="806"/>
      <c r="HG59" s="806"/>
      <c r="HH59" s="806"/>
      <c r="HI59" s="806"/>
      <c r="HJ59" s="806"/>
      <c r="HK59" s="806"/>
      <c r="HL59" s="806"/>
      <c r="HM59" s="806"/>
      <c r="HN59" s="806"/>
      <c r="HO59" s="806"/>
      <c r="HP59" s="806"/>
      <c r="HQ59" s="806"/>
      <c r="HR59" s="806"/>
      <c r="HS59" s="806"/>
      <c r="HT59" s="806"/>
      <c r="HU59" s="806"/>
      <c r="HV59" s="806"/>
      <c r="HW59" s="806"/>
      <c r="HX59" s="806"/>
      <c r="HY59" s="806"/>
      <c r="HZ59" s="806"/>
      <c r="IA59" s="806"/>
      <c r="IB59" s="806"/>
      <c r="IC59" s="806"/>
      <c r="ID59" s="806"/>
      <c r="IE59" s="806"/>
      <c r="IF59" s="806"/>
      <c r="IG59" s="806"/>
      <c r="IH59" s="806"/>
      <c r="II59" s="806"/>
      <c r="IJ59" s="806"/>
      <c r="IK59" s="806"/>
      <c r="IL59" s="806"/>
      <c r="IM59" s="806"/>
      <c r="IN59" s="806"/>
      <c r="IO59" s="806"/>
      <c r="IP59" s="806"/>
      <c r="IQ59" s="806"/>
      <c r="IR59" s="806"/>
      <c r="IS59" s="806"/>
      <c r="IT59" s="806"/>
      <c r="IU59" s="806"/>
      <c r="IV59" s="806"/>
    </row>
    <row r="60" spans="1:256" ht="18">
      <c r="A60" s="806"/>
      <c r="B60" s="806"/>
      <c r="C60" s="806"/>
      <c r="D60" s="806"/>
      <c r="E60" s="806"/>
      <c r="F60" s="806"/>
      <c r="G60" s="806"/>
      <c r="H60" s="806"/>
      <c r="I60" s="806"/>
      <c r="J60" s="806"/>
      <c r="K60" s="806"/>
      <c r="L60" s="806"/>
      <c r="M60" s="806"/>
      <c r="N60" s="806"/>
      <c r="O60" s="819"/>
      <c r="P60" s="819"/>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6"/>
      <c r="AY60" s="806"/>
      <c r="AZ60" s="806"/>
      <c r="BA60" s="806"/>
      <c r="BB60" s="806"/>
      <c r="BC60" s="806"/>
      <c r="BD60" s="806"/>
      <c r="BE60" s="806"/>
      <c r="BF60" s="806"/>
      <c r="BG60" s="806"/>
      <c r="BH60" s="806"/>
      <c r="BI60" s="806"/>
      <c r="BJ60" s="806"/>
      <c r="BK60" s="806"/>
      <c r="BL60" s="806"/>
      <c r="BM60" s="806"/>
      <c r="BN60" s="806"/>
      <c r="BO60" s="806"/>
      <c r="BP60" s="806"/>
      <c r="BQ60" s="806"/>
      <c r="BR60" s="806"/>
      <c r="BS60" s="806"/>
      <c r="BT60" s="806"/>
      <c r="BU60" s="806"/>
      <c r="BV60" s="806"/>
      <c r="BW60" s="806"/>
      <c r="BX60" s="806"/>
      <c r="BY60" s="806"/>
      <c r="BZ60" s="806"/>
      <c r="CA60" s="806"/>
      <c r="CB60" s="806"/>
      <c r="CC60" s="806"/>
      <c r="CD60" s="806"/>
      <c r="CE60" s="806"/>
      <c r="CF60" s="806"/>
      <c r="CG60" s="806"/>
      <c r="CH60" s="806"/>
      <c r="CI60" s="806"/>
      <c r="CJ60" s="806"/>
      <c r="CK60" s="806"/>
      <c r="CL60" s="806"/>
      <c r="CM60" s="806"/>
      <c r="CN60" s="806"/>
      <c r="CO60" s="806"/>
      <c r="CP60" s="806"/>
      <c r="CQ60" s="806"/>
      <c r="CR60" s="806"/>
      <c r="CS60" s="806"/>
      <c r="CT60" s="806"/>
      <c r="CU60" s="806"/>
      <c r="CV60" s="806"/>
      <c r="CW60" s="806"/>
      <c r="CX60" s="806"/>
      <c r="CY60" s="806"/>
      <c r="CZ60" s="806"/>
      <c r="DA60" s="806"/>
      <c r="DB60" s="806"/>
      <c r="DC60" s="806"/>
      <c r="DD60" s="806"/>
      <c r="DE60" s="806"/>
      <c r="DF60" s="806"/>
      <c r="DG60" s="806"/>
      <c r="DH60" s="806"/>
      <c r="DI60" s="806"/>
      <c r="DJ60" s="806"/>
      <c r="DK60" s="806"/>
      <c r="DL60" s="806"/>
      <c r="DM60" s="806"/>
      <c r="DN60" s="806"/>
      <c r="DO60" s="806"/>
      <c r="DP60" s="806"/>
      <c r="DQ60" s="806"/>
      <c r="DR60" s="806"/>
      <c r="DS60" s="806"/>
      <c r="DT60" s="806"/>
      <c r="DU60" s="806"/>
      <c r="DV60" s="806"/>
      <c r="DW60" s="806"/>
      <c r="DX60" s="806"/>
      <c r="DY60" s="806"/>
      <c r="DZ60" s="806"/>
      <c r="EA60" s="806"/>
      <c r="EB60" s="806"/>
      <c r="EC60" s="806"/>
      <c r="ED60" s="806"/>
      <c r="EE60" s="806"/>
      <c r="EF60" s="806"/>
      <c r="EG60" s="806"/>
      <c r="EH60" s="806"/>
      <c r="EI60" s="806"/>
      <c r="EJ60" s="806"/>
      <c r="EK60" s="806"/>
      <c r="EL60" s="806"/>
      <c r="EM60" s="806"/>
      <c r="EN60" s="806"/>
      <c r="EO60" s="806"/>
      <c r="EP60" s="806"/>
      <c r="EQ60" s="806"/>
      <c r="ER60" s="806"/>
      <c r="ES60" s="806"/>
      <c r="ET60" s="806"/>
      <c r="EU60" s="806"/>
      <c r="EV60" s="806"/>
      <c r="EW60" s="806"/>
      <c r="EX60" s="806"/>
      <c r="EY60" s="806"/>
      <c r="EZ60" s="806"/>
      <c r="FA60" s="806"/>
      <c r="FB60" s="806"/>
      <c r="FC60" s="806"/>
      <c r="FD60" s="806"/>
      <c r="FE60" s="806"/>
      <c r="FF60" s="806"/>
      <c r="FG60" s="806"/>
      <c r="FH60" s="806"/>
      <c r="FI60" s="806"/>
      <c r="FJ60" s="806"/>
      <c r="FK60" s="806"/>
      <c r="FL60" s="806"/>
      <c r="FM60" s="806"/>
      <c r="FN60" s="806"/>
      <c r="FO60" s="806"/>
      <c r="FP60" s="806"/>
      <c r="FQ60" s="806"/>
      <c r="FR60" s="806"/>
      <c r="FS60" s="806"/>
      <c r="FT60" s="806"/>
      <c r="FU60" s="806"/>
      <c r="FV60" s="806"/>
      <c r="FW60" s="806"/>
      <c r="FX60" s="806"/>
      <c r="FY60" s="806"/>
      <c r="FZ60" s="806"/>
      <c r="GA60" s="806"/>
      <c r="GB60" s="806"/>
      <c r="GC60" s="806"/>
      <c r="GD60" s="806"/>
      <c r="GE60" s="806"/>
      <c r="GF60" s="806"/>
      <c r="GG60" s="806"/>
      <c r="GH60" s="806"/>
      <c r="GI60" s="806"/>
      <c r="GJ60" s="806"/>
      <c r="GK60" s="806"/>
      <c r="GL60" s="806"/>
      <c r="GM60" s="806"/>
      <c r="GN60" s="806"/>
      <c r="GO60" s="806"/>
      <c r="GP60" s="806"/>
      <c r="GQ60" s="806"/>
      <c r="GR60" s="806"/>
      <c r="GS60" s="806"/>
      <c r="GT60" s="806"/>
      <c r="GU60" s="806"/>
      <c r="GV60" s="806"/>
      <c r="GW60" s="806"/>
      <c r="GX60" s="806"/>
      <c r="GY60" s="806"/>
      <c r="GZ60" s="806"/>
      <c r="HA60" s="806"/>
      <c r="HB60" s="806"/>
      <c r="HC60" s="806"/>
      <c r="HD60" s="806"/>
      <c r="HE60" s="806"/>
      <c r="HF60" s="806"/>
      <c r="HG60" s="806"/>
      <c r="HH60" s="806"/>
      <c r="HI60" s="806"/>
      <c r="HJ60" s="806"/>
      <c r="HK60" s="806"/>
      <c r="HL60" s="806"/>
      <c r="HM60" s="806"/>
      <c r="HN60" s="806"/>
      <c r="HO60" s="806"/>
      <c r="HP60" s="806"/>
      <c r="HQ60" s="806"/>
      <c r="HR60" s="806"/>
      <c r="HS60" s="806"/>
      <c r="HT60" s="806"/>
      <c r="HU60" s="806"/>
      <c r="HV60" s="806"/>
      <c r="HW60" s="806"/>
      <c r="HX60" s="806"/>
      <c r="HY60" s="806"/>
      <c r="HZ60" s="806"/>
      <c r="IA60" s="806"/>
      <c r="IB60" s="806"/>
      <c r="IC60" s="806"/>
      <c r="ID60" s="806"/>
      <c r="IE60" s="806"/>
      <c r="IF60" s="806"/>
      <c r="IG60" s="806"/>
      <c r="IH60" s="806"/>
      <c r="II60" s="806"/>
      <c r="IJ60" s="806"/>
      <c r="IK60" s="806"/>
      <c r="IL60" s="806"/>
      <c r="IM60" s="806"/>
      <c r="IN60" s="806"/>
      <c r="IO60" s="806"/>
      <c r="IP60" s="806"/>
      <c r="IQ60" s="806"/>
      <c r="IR60" s="806"/>
      <c r="IS60" s="806"/>
      <c r="IT60" s="806"/>
      <c r="IU60" s="806"/>
      <c r="IV60" s="806"/>
    </row>
    <row r="61" spans="1:256" ht="18">
      <c r="A61" s="806"/>
      <c r="B61" s="806"/>
      <c r="C61" s="806"/>
      <c r="D61" s="821"/>
      <c r="E61" s="806"/>
      <c r="F61" s="806"/>
      <c r="G61" s="806"/>
      <c r="H61" s="806"/>
      <c r="I61" s="806"/>
      <c r="J61" s="821"/>
      <c r="K61" s="806"/>
      <c r="L61" s="821"/>
      <c r="M61" s="806"/>
      <c r="N61" s="806"/>
      <c r="O61" s="819"/>
      <c r="P61" s="819"/>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6"/>
      <c r="AY61" s="806"/>
      <c r="AZ61" s="806"/>
      <c r="BA61" s="806"/>
      <c r="BB61" s="806"/>
      <c r="BC61" s="806"/>
      <c r="BD61" s="806"/>
      <c r="BE61" s="806"/>
      <c r="BF61" s="806"/>
      <c r="BG61" s="806"/>
      <c r="BH61" s="806"/>
      <c r="BI61" s="806"/>
      <c r="BJ61" s="806"/>
      <c r="BK61" s="806"/>
      <c r="BL61" s="806"/>
      <c r="BM61" s="806"/>
      <c r="BN61" s="806"/>
      <c r="BO61" s="806"/>
      <c r="BP61" s="806"/>
      <c r="BQ61" s="806"/>
      <c r="BR61" s="806"/>
      <c r="BS61" s="806"/>
      <c r="BT61" s="806"/>
      <c r="BU61" s="806"/>
      <c r="BV61" s="806"/>
      <c r="BW61" s="806"/>
      <c r="BX61" s="806"/>
      <c r="BY61" s="806"/>
      <c r="BZ61" s="806"/>
      <c r="CA61" s="806"/>
      <c r="CB61" s="806"/>
      <c r="CC61" s="806"/>
      <c r="CD61" s="806"/>
      <c r="CE61" s="806"/>
      <c r="CF61" s="806"/>
      <c r="CG61" s="806"/>
      <c r="CH61" s="806"/>
      <c r="CI61" s="806"/>
      <c r="CJ61" s="806"/>
      <c r="CK61" s="806"/>
      <c r="CL61" s="806"/>
      <c r="CM61" s="806"/>
      <c r="CN61" s="806"/>
      <c r="CO61" s="806"/>
      <c r="CP61" s="806"/>
      <c r="CQ61" s="806"/>
      <c r="CR61" s="806"/>
      <c r="CS61" s="806"/>
      <c r="CT61" s="806"/>
      <c r="CU61" s="806"/>
      <c r="CV61" s="806"/>
      <c r="CW61" s="806"/>
      <c r="CX61" s="806"/>
      <c r="CY61" s="806"/>
      <c r="CZ61" s="806"/>
      <c r="DA61" s="806"/>
      <c r="DB61" s="806"/>
      <c r="DC61" s="806"/>
      <c r="DD61" s="806"/>
      <c r="DE61" s="806"/>
      <c r="DF61" s="806"/>
      <c r="DG61" s="806"/>
      <c r="DH61" s="806"/>
      <c r="DI61" s="806"/>
      <c r="DJ61" s="806"/>
      <c r="DK61" s="806"/>
      <c r="DL61" s="806"/>
      <c r="DM61" s="806"/>
      <c r="DN61" s="806"/>
      <c r="DO61" s="806"/>
      <c r="DP61" s="806"/>
      <c r="DQ61" s="806"/>
      <c r="DR61" s="806"/>
      <c r="DS61" s="806"/>
      <c r="DT61" s="806"/>
      <c r="DU61" s="806"/>
      <c r="DV61" s="806"/>
      <c r="DW61" s="806"/>
      <c r="DX61" s="806"/>
      <c r="DY61" s="806"/>
      <c r="DZ61" s="806"/>
      <c r="EA61" s="806"/>
      <c r="EB61" s="806"/>
      <c r="EC61" s="806"/>
      <c r="ED61" s="806"/>
      <c r="EE61" s="806"/>
      <c r="EF61" s="806"/>
      <c r="EG61" s="806"/>
      <c r="EH61" s="806"/>
      <c r="EI61" s="806"/>
      <c r="EJ61" s="806"/>
      <c r="EK61" s="806"/>
      <c r="EL61" s="806"/>
      <c r="EM61" s="806"/>
      <c r="EN61" s="806"/>
      <c r="EO61" s="806"/>
      <c r="EP61" s="806"/>
      <c r="EQ61" s="806"/>
      <c r="ER61" s="806"/>
      <c r="ES61" s="806"/>
      <c r="ET61" s="806"/>
      <c r="EU61" s="806"/>
      <c r="EV61" s="806"/>
      <c r="EW61" s="806"/>
      <c r="EX61" s="806"/>
      <c r="EY61" s="806"/>
      <c r="EZ61" s="806"/>
      <c r="FA61" s="806"/>
      <c r="FB61" s="806"/>
      <c r="FC61" s="806"/>
      <c r="FD61" s="806"/>
      <c r="FE61" s="806"/>
      <c r="FF61" s="806"/>
      <c r="FG61" s="806"/>
      <c r="FH61" s="806"/>
      <c r="FI61" s="806"/>
      <c r="FJ61" s="806"/>
      <c r="FK61" s="806"/>
      <c r="FL61" s="806"/>
      <c r="FM61" s="806"/>
      <c r="FN61" s="806"/>
      <c r="FO61" s="806"/>
      <c r="FP61" s="806"/>
      <c r="FQ61" s="806"/>
      <c r="FR61" s="806"/>
      <c r="FS61" s="806"/>
      <c r="FT61" s="806"/>
      <c r="FU61" s="806"/>
      <c r="FV61" s="806"/>
      <c r="FW61" s="806"/>
      <c r="FX61" s="806"/>
      <c r="FY61" s="806"/>
      <c r="FZ61" s="806"/>
      <c r="GA61" s="806"/>
      <c r="GB61" s="806"/>
      <c r="GC61" s="806"/>
      <c r="GD61" s="806"/>
      <c r="GE61" s="806"/>
      <c r="GF61" s="806"/>
      <c r="GG61" s="806"/>
      <c r="GH61" s="806"/>
      <c r="GI61" s="806"/>
      <c r="GJ61" s="806"/>
      <c r="GK61" s="806"/>
      <c r="GL61" s="806"/>
      <c r="GM61" s="806"/>
      <c r="GN61" s="806"/>
      <c r="GO61" s="806"/>
      <c r="GP61" s="806"/>
      <c r="GQ61" s="806"/>
      <c r="GR61" s="806"/>
      <c r="GS61" s="806"/>
      <c r="GT61" s="806"/>
      <c r="GU61" s="806"/>
      <c r="GV61" s="806"/>
      <c r="GW61" s="806"/>
      <c r="GX61" s="806"/>
      <c r="GY61" s="806"/>
      <c r="GZ61" s="806"/>
      <c r="HA61" s="806"/>
      <c r="HB61" s="806"/>
      <c r="HC61" s="806"/>
      <c r="HD61" s="806"/>
      <c r="HE61" s="806"/>
      <c r="HF61" s="806"/>
      <c r="HG61" s="806"/>
      <c r="HH61" s="806"/>
      <c r="HI61" s="806"/>
      <c r="HJ61" s="806"/>
      <c r="HK61" s="806"/>
      <c r="HL61" s="806"/>
      <c r="HM61" s="806"/>
      <c r="HN61" s="806"/>
      <c r="HO61" s="806"/>
      <c r="HP61" s="806"/>
      <c r="HQ61" s="806"/>
      <c r="HR61" s="806"/>
      <c r="HS61" s="806"/>
      <c r="HT61" s="806"/>
      <c r="HU61" s="806"/>
      <c r="HV61" s="806"/>
      <c r="HW61" s="806"/>
      <c r="HX61" s="806"/>
      <c r="HY61" s="806"/>
      <c r="HZ61" s="806"/>
      <c r="IA61" s="806"/>
      <c r="IB61" s="806"/>
      <c r="IC61" s="806"/>
      <c r="ID61" s="806"/>
      <c r="IE61" s="806"/>
      <c r="IF61" s="806"/>
      <c r="IG61" s="806"/>
      <c r="IH61" s="806"/>
      <c r="II61" s="806"/>
      <c r="IJ61" s="806"/>
      <c r="IK61" s="806"/>
      <c r="IL61" s="806"/>
      <c r="IM61" s="806"/>
      <c r="IN61" s="806"/>
      <c r="IO61" s="806"/>
      <c r="IP61" s="806"/>
      <c r="IQ61" s="806"/>
      <c r="IR61" s="806"/>
      <c r="IS61" s="806"/>
      <c r="IT61" s="806"/>
      <c r="IU61" s="806"/>
      <c r="IV61" s="806"/>
    </row>
    <row r="62" spans="1:256" ht="18">
      <c r="A62" s="806"/>
      <c r="B62" s="806"/>
      <c r="C62" s="806"/>
      <c r="D62" s="821"/>
      <c r="E62" s="806"/>
      <c r="F62" s="806"/>
      <c r="G62" s="806"/>
      <c r="H62" s="806"/>
      <c r="I62" s="806"/>
      <c r="J62" s="821"/>
      <c r="K62" s="806"/>
      <c r="L62" s="821"/>
      <c r="M62" s="806"/>
      <c r="N62" s="806"/>
      <c r="O62" s="819"/>
      <c r="P62" s="819"/>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6"/>
      <c r="AY62" s="806"/>
      <c r="AZ62" s="806"/>
      <c r="BA62" s="806"/>
      <c r="BB62" s="806"/>
      <c r="BC62" s="806"/>
      <c r="BD62" s="806"/>
      <c r="BE62" s="806"/>
      <c r="BF62" s="806"/>
      <c r="BG62" s="806"/>
      <c r="BH62" s="806"/>
      <c r="BI62" s="806"/>
      <c r="BJ62" s="806"/>
      <c r="BK62" s="806"/>
      <c r="BL62" s="806"/>
      <c r="BM62" s="806"/>
      <c r="BN62" s="806"/>
      <c r="BO62" s="806"/>
      <c r="BP62" s="806"/>
      <c r="BQ62" s="806"/>
      <c r="BR62" s="806"/>
      <c r="BS62" s="806"/>
      <c r="BT62" s="806"/>
      <c r="BU62" s="806"/>
      <c r="BV62" s="806"/>
      <c r="BW62" s="806"/>
      <c r="BX62" s="806"/>
      <c r="BY62" s="806"/>
      <c r="BZ62" s="806"/>
      <c r="CA62" s="806"/>
      <c r="CB62" s="806"/>
      <c r="CC62" s="806"/>
      <c r="CD62" s="806"/>
      <c r="CE62" s="806"/>
      <c r="CF62" s="806"/>
      <c r="CG62" s="806"/>
      <c r="CH62" s="806"/>
      <c r="CI62" s="806"/>
      <c r="CJ62" s="806"/>
      <c r="CK62" s="806"/>
      <c r="CL62" s="806"/>
      <c r="CM62" s="806"/>
      <c r="CN62" s="806"/>
      <c r="CO62" s="806"/>
      <c r="CP62" s="806"/>
      <c r="CQ62" s="806"/>
      <c r="CR62" s="806"/>
      <c r="CS62" s="806"/>
      <c r="CT62" s="806"/>
      <c r="CU62" s="806"/>
      <c r="CV62" s="806"/>
      <c r="CW62" s="806"/>
      <c r="CX62" s="806"/>
      <c r="CY62" s="806"/>
      <c r="CZ62" s="806"/>
      <c r="DA62" s="806"/>
      <c r="DB62" s="806"/>
      <c r="DC62" s="806"/>
      <c r="DD62" s="806"/>
      <c r="DE62" s="806"/>
      <c r="DF62" s="806"/>
      <c r="DG62" s="806"/>
      <c r="DH62" s="806"/>
      <c r="DI62" s="806"/>
      <c r="DJ62" s="806"/>
      <c r="DK62" s="806"/>
      <c r="DL62" s="806"/>
      <c r="DM62" s="806"/>
      <c r="DN62" s="806"/>
      <c r="DO62" s="806"/>
      <c r="DP62" s="806"/>
      <c r="DQ62" s="806"/>
      <c r="DR62" s="806"/>
      <c r="DS62" s="806"/>
      <c r="DT62" s="806"/>
      <c r="DU62" s="806"/>
      <c r="DV62" s="806"/>
      <c r="DW62" s="806"/>
      <c r="DX62" s="806"/>
      <c r="DY62" s="806"/>
      <c r="DZ62" s="806"/>
      <c r="EA62" s="806"/>
      <c r="EB62" s="806"/>
      <c r="EC62" s="806"/>
      <c r="ED62" s="806"/>
      <c r="EE62" s="806"/>
      <c r="EF62" s="806"/>
      <c r="EG62" s="806"/>
      <c r="EH62" s="806"/>
      <c r="EI62" s="806"/>
      <c r="EJ62" s="806"/>
      <c r="EK62" s="806"/>
      <c r="EL62" s="806"/>
      <c r="EM62" s="806"/>
      <c r="EN62" s="806"/>
      <c r="EO62" s="806"/>
      <c r="EP62" s="806"/>
      <c r="EQ62" s="806"/>
      <c r="ER62" s="806"/>
      <c r="ES62" s="806"/>
      <c r="ET62" s="806"/>
      <c r="EU62" s="806"/>
      <c r="EV62" s="806"/>
      <c r="EW62" s="806"/>
      <c r="EX62" s="806"/>
      <c r="EY62" s="806"/>
      <c r="EZ62" s="806"/>
      <c r="FA62" s="806"/>
      <c r="FB62" s="806"/>
      <c r="FC62" s="806"/>
      <c r="FD62" s="806"/>
      <c r="FE62" s="806"/>
      <c r="FF62" s="806"/>
      <c r="FG62" s="806"/>
      <c r="FH62" s="806"/>
      <c r="FI62" s="806"/>
      <c r="FJ62" s="806"/>
      <c r="FK62" s="806"/>
      <c r="FL62" s="806"/>
      <c r="FM62" s="806"/>
      <c r="FN62" s="806"/>
      <c r="FO62" s="806"/>
      <c r="FP62" s="806"/>
      <c r="FQ62" s="806"/>
      <c r="FR62" s="806"/>
      <c r="FS62" s="806"/>
      <c r="FT62" s="806"/>
      <c r="FU62" s="806"/>
      <c r="FV62" s="806"/>
      <c r="FW62" s="806"/>
      <c r="FX62" s="806"/>
      <c r="FY62" s="806"/>
      <c r="FZ62" s="806"/>
      <c r="GA62" s="806"/>
      <c r="GB62" s="806"/>
      <c r="GC62" s="806"/>
      <c r="GD62" s="806"/>
      <c r="GE62" s="806"/>
      <c r="GF62" s="806"/>
      <c r="GG62" s="806"/>
      <c r="GH62" s="806"/>
      <c r="GI62" s="806"/>
      <c r="GJ62" s="806"/>
      <c r="GK62" s="806"/>
      <c r="GL62" s="806"/>
      <c r="GM62" s="806"/>
      <c r="GN62" s="806"/>
      <c r="GO62" s="806"/>
      <c r="GP62" s="806"/>
      <c r="GQ62" s="806"/>
      <c r="GR62" s="806"/>
      <c r="GS62" s="806"/>
      <c r="GT62" s="806"/>
      <c r="GU62" s="806"/>
      <c r="GV62" s="806"/>
      <c r="GW62" s="806"/>
      <c r="GX62" s="806"/>
      <c r="GY62" s="806"/>
      <c r="GZ62" s="806"/>
      <c r="HA62" s="806"/>
      <c r="HB62" s="806"/>
      <c r="HC62" s="806"/>
      <c r="HD62" s="806"/>
      <c r="HE62" s="806"/>
      <c r="HF62" s="806"/>
      <c r="HG62" s="806"/>
      <c r="HH62" s="806"/>
      <c r="HI62" s="806"/>
      <c r="HJ62" s="806"/>
      <c r="HK62" s="806"/>
      <c r="HL62" s="806"/>
      <c r="HM62" s="806"/>
      <c r="HN62" s="806"/>
      <c r="HO62" s="806"/>
      <c r="HP62" s="806"/>
      <c r="HQ62" s="806"/>
      <c r="HR62" s="806"/>
      <c r="HS62" s="806"/>
      <c r="HT62" s="806"/>
      <c r="HU62" s="806"/>
      <c r="HV62" s="806"/>
      <c r="HW62" s="806"/>
      <c r="HX62" s="806"/>
      <c r="HY62" s="806"/>
      <c r="HZ62" s="806"/>
      <c r="IA62" s="806"/>
      <c r="IB62" s="806"/>
      <c r="IC62" s="806"/>
      <c r="ID62" s="806"/>
      <c r="IE62" s="806"/>
      <c r="IF62" s="806"/>
      <c r="IG62" s="806"/>
      <c r="IH62" s="806"/>
      <c r="II62" s="806"/>
      <c r="IJ62" s="806"/>
      <c r="IK62" s="806"/>
      <c r="IL62" s="806"/>
      <c r="IM62" s="806"/>
      <c r="IN62" s="806"/>
      <c r="IO62" s="806"/>
      <c r="IP62" s="806"/>
      <c r="IQ62" s="806"/>
      <c r="IR62" s="806"/>
      <c r="IS62" s="806"/>
      <c r="IT62" s="806"/>
      <c r="IU62" s="806"/>
      <c r="IV62" s="806"/>
    </row>
    <row r="63" spans="1:256" ht="18">
      <c r="A63" s="822"/>
      <c r="B63" s="806"/>
      <c r="C63" s="806"/>
      <c r="D63" s="823"/>
      <c r="E63" s="811"/>
      <c r="F63" s="823"/>
      <c r="G63" s="811"/>
      <c r="H63" s="823"/>
      <c r="I63" s="811"/>
      <c r="J63" s="823"/>
      <c r="K63" s="811"/>
      <c r="L63" s="823"/>
      <c r="M63" s="806"/>
      <c r="N63" s="806"/>
      <c r="O63" s="819"/>
      <c r="P63" s="819"/>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6"/>
      <c r="AY63" s="806"/>
      <c r="AZ63" s="806"/>
      <c r="BA63" s="806"/>
      <c r="BB63" s="806"/>
      <c r="BC63" s="806"/>
      <c r="BD63" s="806"/>
      <c r="BE63" s="806"/>
      <c r="BF63" s="806"/>
      <c r="BG63" s="806"/>
      <c r="BH63" s="806"/>
      <c r="BI63" s="806"/>
      <c r="BJ63" s="806"/>
      <c r="BK63" s="806"/>
      <c r="BL63" s="806"/>
      <c r="BM63" s="806"/>
      <c r="BN63" s="806"/>
      <c r="BO63" s="806"/>
      <c r="BP63" s="806"/>
      <c r="BQ63" s="806"/>
      <c r="BR63" s="806"/>
      <c r="BS63" s="806"/>
      <c r="BT63" s="806"/>
      <c r="BU63" s="806"/>
      <c r="BV63" s="806"/>
      <c r="BW63" s="806"/>
      <c r="BX63" s="806"/>
      <c r="BY63" s="806"/>
      <c r="BZ63" s="806"/>
      <c r="CA63" s="806"/>
      <c r="CB63" s="806"/>
      <c r="CC63" s="806"/>
      <c r="CD63" s="806"/>
      <c r="CE63" s="806"/>
      <c r="CF63" s="806"/>
      <c r="CG63" s="806"/>
      <c r="CH63" s="806"/>
      <c r="CI63" s="806"/>
      <c r="CJ63" s="806"/>
      <c r="CK63" s="806"/>
      <c r="CL63" s="806"/>
      <c r="CM63" s="806"/>
      <c r="CN63" s="806"/>
      <c r="CO63" s="806"/>
      <c r="CP63" s="806"/>
      <c r="CQ63" s="806"/>
      <c r="CR63" s="806"/>
      <c r="CS63" s="806"/>
      <c r="CT63" s="806"/>
      <c r="CU63" s="806"/>
      <c r="CV63" s="806"/>
      <c r="CW63" s="806"/>
      <c r="CX63" s="806"/>
      <c r="CY63" s="806"/>
      <c r="CZ63" s="806"/>
      <c r="DA63" s="806"/>
      <c r="DB63" s="806"/>
      <c r="DC63" s="806"/>
      <c r="DD63" s="806"/>
      <c r="DE63" s="806"/>
      <c r="DF63" s="806"/>
      <c r="DG63" s="806"/>
      <c r="DH63" s="806"/>
      <c r="DI63" s="806"/>
      <c r="DJ63" s="806"/>
      <c r="DK63" s="806"/>
      <c r="DL63" s="806"/>
      <c r="DM63" s="806"/>
      <c r="DN63" s="806"/>
      <c r="DO63" s="806"/>
      <c r="DP63" s="806"/>
      <c r="DQ63" s="806"/>
      <c r="DR63" s="806"/>
      <c r="DS63" s="806"/>
      <c r="DT63" s="806"/>
      <c r="DU63" s="806"/>
      <c r="DV63" s="806"/>
      <c r="DW63" s="806"/>
      <c r="DX63" s="806"/>
      <c r="DY63" s="806"/>
      <c r="DZ63" s="806"/>
      <c r="EA63" s="806"/>
      <c r="EB63" s="806"/>
      <c r="EC63" s="806"/>
      <c r="ED63" s="806"/>
      <c r="EE63" s="806"/>
      <c r="EF63" s="806"/>
      <c r="EG63" s="806"/>
      <c r="EH63" s="806"/>
      <c r="EI63" s="806"/>
      <c r="EJ63" s="806"/>
      <c r="EK63" s="806"/>
      <c r="EL63" s="806"/>
      <c r="EM63" s="806"/>
      <c r="EN63" s="806"/>
      <c r="EO63" s="806"/>
      <c r="EP63" s="806"/>
      <c r="EQ63" s="806"/>
      <c r="ER63" s="806"/>
      <c r="ES63" s="806"/>
      <c r="ET63" s="806"/>
      <c r="EU63" s="806"/>
      <c r="EV63" s="806"/>
      <c r="EW63" s="806"/>
      <c r="EX63" s="806"/>
      <c r="EY63" s="806"/>
      <c r="EZ63" s="806"/>
      <c r="FA63" s="806"/>
      <c r="FB63" s="806"/>
      <c r="FC63" s="806"/>
      <c r="FD63" s="806"/>
      <c r="FE63" s="806"/>
      <c r="FF63" s="806"/>
      <c r="FG63" s="806"/>
      <c r="FH63" s="806"/>
      <c r="FI63" s="806"/>
      <c r="FJ63" s="806"/>
      <c r="FK63" s="806"/>
      <c r="FL63" s="806"/>
      <c r="FM63" s="806"/>
      <c r="FN63" s="806"/>
      <c r="FO63" s="806"/>
      <c r="FP63" s="806"/>
      <c r="FQ63" s="806"/>
      <c r="FR63" s="806"/>
      <c r="FS63" s="806"/>
      <c r="FT63" s="806"/>
      <c r="FU63" s="806"/>
      <c r="FV63" s="806"/>
      <c r="FW63" s="806"/>
      <c r="FX63" s="806"/>
      <c r="FY63" s="806"/>
      <c r="FZ63" s="806"/>
      <c r="GA63" s="806"/>
      <c r="GB63" s="806"/>
      <c r="GC63" s="806"/>
      <c r="GD63" s="806"/>
      <c r="GE63" s="806"/>
      <c r="GF63" s="806"/>
      <c r="GG63" s="806"/>
      <c r="GH63" s="806"/>
      <c r="GI63" s="806"/>
      <c r="GJ63" s="806"/>
      <c r="GK63" s="806"/>
      <c r="GL63" s="806"/>
      <c r="GM63" s="806"/>
      <c r="GN63" s="806"/>
      <c r="GO63" s="806"/>
      <c r="GP63" s="806"/>
      <c r="GQ63" s="806"/>
      <c r="GR63" s="806"/>
      <c r="GS63" s="806"/>
      <c r="GT63" s="806"/>
      <c r="GU63" s="806"/>
      <c r="GV63" s="806"/>
      <c r="GW63" s="806"/>
      <c r="GX63" s="806"/>
      <c r="GY63" s="806"/>
      <c r="GZ63" s="806"/>
      <c r="HA63" s="806"/>
      <c r="HB63" s="806"/>
      <c r="HC63" s="806"/>
      <c r="HD63" s="806"/>
      <c r="HE63" s="806"/>
      <c r="HF63" s="806"/>
      <c r="HG63" s="806"/>
      <c r="HH63" s="806"/>
      <c r="HI63" s="806"/>
      <c r="HJ63" s="806"/>
      <c r="HK63" s="806"/>
      <c r="HL63" s="806"/>
      <c r="HM63" s="806"/>
      <c r="HN63" s="806"/>
      <c r="HO63" s="806"/>
      <c r="HP63" s="806"/>
      <c r="HQ63" s="806"/>
      <c r="HR63" s="806"/>
      <c r="HS63" s="806"/>
      <c r="HT63" s="806"/>
      <c r="HU63" s="806"/>
      <c r="HV63" s="806"/>
      <c r="HW63" s="806"/>
      <c r="HX63" s="806"/>
      <c r="HY63" s="806"/>
      <c r="HZ63" s="806"/>
      <c r="IA63" s="806"/>
      <c r="IB63" s="806"/>
      <c r="IC63" s="806"/>
      <c r="ID63" s="806"/>
      <c r="IE63" s="806"/>
      <c r="IF63" s="806"/>
      <c r="IG63" s="806"/>
      <c r="IH63" s="806"/>
      <c r="II63" s="806"/>
      <c r="IJ63" s="806"/>
      <c r="IK63" s="806"/>
      <c r="IL63" s="806"/>
      <c r="IM63" s="806"/>
      <c r="IN63" s="806"/>
      <c r="IO63" s="806"/>
      <c r="IP63" s="806"/>
      <c r="IQ63" s="806"/>
      <c r="IR63" s="806"/>
      <c r="IS63" s="806"/>
      <c r="IT63" s="806"/>
      <c r="IU63" s="806"/>
      <c r="IV63" s="806"/>
    </row>
    <row r="64" spans="1:256" ht="18">
      <c r="A64" s="806"/>
      <c r="B64" s="806"/>
      <c r="C64" s="806"/>
      <c r="D64" s="811"/>
      <c r="E64" s="806"/>
      <c r="F64" s="811"/>
      <c r="G64" s="806"/>
      <c r="H64" s="811"/>
      <c r="I64" s="806"/>
      <c r="J64" s="811"/>
      <c r="K64" s="806"/>
      <c r="L64" s="811"/>
      <c r="M64" s="806"/>
      <c r="N64" s="806"/>
      <c r="O64" s="819"/>
      <c r="P64" s="819"/>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6"/>
      <c r="AY64" s="806"/>
      <c r="AZ64" s="806"/>
      <c r="BA64" s="806"/>
      <c r="BB64" s="806"/>
      <c r="BC64" s="806"/>
      <c r="BD64" s="806"/>
      <c r="BE64" s="806"/>
      <c r="BF64" s="806"/>
      <c r="BG64" s="806"/>
      <c r="BH64" s="806"/>
      <c r="BI64" s="806"/>
      <c r="BJ64" s="806"/>
      <c r="BK64" s="806"/>
      <c r="BL64" s="806"/>
      <c r="BM64" s="806"/>
      <c r="BN64" s="806"/>
      <c r="BO64" s="806"/>
      <c r="BP64" s="806"/>
      <c r="BQ64" s="806"/>
      <c r="BR64" s="806"/>
      <c r="BS64" s="806"/>
      <c r="BT64" s="806"/>
      <c r="BU64" s="806"/>
      <c r="BV64" s="806"/>
      <c r="BW64" s="806"/>
      <c r="BX64" s="806"/>
      <c r="BY64" s="806"/>
      <c r="BZ64" s="806"/>
      <c r="CA64" s="806"/>
      <c r="CB64" s="806"/>
      <c r="CC64" s="806"/>
      <c r="CD64" s="806"/>
      <c r="CE64" s="806"/>
      <c r="CF64" s="806"/>
      <c r="CG64" s="806"/>
      <c r="CH64" s="806"/>
      <c r="CI64" s="806"/>
      <c r="CJ64" s="806"/>
      <c r="CK64" s="806"/>
      <c r="CL64" s="806"/>
      <c r="CM64" s="806"/>
      <c r="CN64" s="806"/>
      <c r="CO64" s="806"/>
      <c r="CP64" s="806"/>
      <c r="CQ64" s="806"/>
      <c r="CR64" s="806"/>
      <c r="CS64" s="806"/>
      <c r="CT64" s="806"/>
      <c r="CU64" s="806"/>
      <c r="CV64" s="806"/>
      <c r="CW64" s="806"/>
      <c r="CX64" s="806"/>
      <c r="CY64" s="806"/>
      <c r="CZ64" s="806"/>
      <c r="DA64" s="806"/>
      <c r="DB64" s="806"/>
      <c r="DC64" s="806"/>
      <c r="DD64" s="806"/>
      <c r="DE64" s="806"/>
      <c r="DF64" s="806"/>
      <c r="DG64" s="806"/>
      <c r="DH64" s="806"/>
      <c r="DI64" s="806"/>
      <c r="DJ64" s="806"/>
      <c r="DK64" s="806"/>
      <c r="DL64" s="806"/>
      <c r="DM64" s="806"/>
      <c r="DN64" s="806"/>
      <c r="DO64" s="806"/>
      <c r="DP64" s="806"/>
      <c r="DQ64" s="806"/>
      <c r="DR64" s="806"/>
      <c r="DS64" s="806"/>
      <c r="DT64" s="806"/>
      <c r="DU64" s="806"/>
      <c r="DV64" s="806"/>
      <c r="DW64" s="806"/>
      <c r="DX64" s="806"/>
      <c r="DY64" s="806"/>
      <c r="DZ64" s="806"/>
      <c r="EA64" s="806"/>
      <c r="EB64" s="806"/>
      <c r="EC64" s="806"/>
      <c r="ED64" s="806"/>
      <c r="EE64" s="806"/>
      <c r="EF64" s="806"/>
      <c r="EG64" s="806"/>
      <c r="EH64" s="806"/>
      <c r="EI64" s="806"/>
      <c r="EJ64" s="806"/>
      <c r="EK64" s="806"/>
      <c r="EL64" s="806"/>
      <c r="EM64" s="806"/>
      <c r="EN64" s="806"/>
      <c r="EO64" s="806"/>
      <c r="EP64" s="806"/>
      <c r="EQ64" s="806"/>
      <c r="ER64" s="806"/>
      <c r="ES64" s="806"/>
      <c r="ET64" s="806"/>
      <c r="EU64" s="806"/>
      <c r="EV64" s="806"/>
      <c r="EW64" s="806"/>
      <c r="EX64" s="806"/>
      <c r="EY64" s="806"/>
      <c r="EZ64" s="806"/>
      <c r="FA64" s="806"/>
      <c r="FB64" s="806"/>
      <c r="FC64" s="806"/>
      <c r="FD64" s="806"/>
      <c r="FE64" s="806"/>
      <c r="FF64" s="806"/>
      <c r="FG64" s="806"/>
      <c r="FH64" s="806"/>
      <c r="FI64" s="806"/>
      <c r="FJ64" s="806"/>
      <c r="FK64" s="806"/>
      <c r="FL64" s="806"/>
      <c r="FM64" s="806"/>
      <c r="FN64" s="806"/>
      <c r="FO64" s="806"/>
      <c r="FP64" s="806"/>
      <c r="FQ64" s="806"/>
      <c r="FR64" s="806"/>
      <c r="FS64" s="806"/>
      <c r="FT64" s="806"/>
      <c r="FU64" s="806"/>
      <c r="FV64" s="806"/>
      <c r="FW64" s="806"/>
      <c r="FX64" s="806"/>
      <c r="FY64" s="806"/>
      <c r="FZ64" s="806"/>
      <c r="GA64" s="806"/>
      <c r="GB64" s="806"/>
      <c r="GC64" s="806"/>
      <c r="GD64" s="806"/>
      <c r="GE64" s="806"/>
      <c r="GF64" s="806"/>
      <c r="GG64" s="806"/>
      <c r="GH64" s="806"/>
      <c r="GI64" s="806"/>
      <c r="GJ64" s="806"/>
      <c r="GK64" s="806"/>
      <c r="GL64" s="806"/>
      <c r="GM64" s="806"/>
      <c r="GN64" s="806"/>
      <c r="GO64" s="806"/>
      <c r="GP64" s="806"/>
      <c r="GQ64" s="806"/>
      <c r="GR64" s="806"/>
      <c r="GS64" s="806"/>
      <c r="GT64" s="806"/>
      <c r="GU64" s="806"/>
      <c r="GV64" s="806"/>
      <c r="GW64" s="806"/>
      <c r="GX64" s="806"/>
      <c r="GY64" s="806"/>
      <c r="GZ64" s="806"/>
      <c r="HA64" s="806"/>
      <c r="HB64" s="806"/>
      <c r="HC64" s="806"/>
      <c r="HD64" s="806"/>
      <c r="HE64" s="806"/>
      <c r="HF64" s="806"/>
      <c r="HG64" s="806"/>
      <c r="HH64" s="806"/>
      <c r="HI64" s="806"/>
      <c r="HJ64" s="806"/>
      <c r="HK64" s="806"/>
      <c r="HL64" s="806"/>
      <c r="HM64" s="806"/>
      <c r="HN64" s="806"/>
      <c r="HO64" s="806"/>
      <c r="HP64" s="806"/>
      <c r="HQ64" s="806"/>
      <c r="HR64" s="806"/>
      <c r="HS64" s="806"/>
      <c r="HT64" s="806"/>
      <c r="HU64" s="806"/>
      <c r="HV64" s="806"/>
      <c r="HW64" s="806"/>
      <c r="HX64" s="806"/>
      <c r="HY64" s="806"/>
      <c r="HZ64" s="806"/>
      <c r="IA64" s="806"/>
      <c r="IB64" s="806"/>
      <c r="IC64" s="806"/>
      <c r="ID64" s="806"/>
      <c r="IE64" s="806"/>
      <c r="IF64" s="806"/>
      <c r="IG64" s="806"/>
      <c r="IH64" s="806"/>
      <c r="II64" s="806"/>
      <c r="IJ64" s="806"/>
      <c r="IK64" s="806"/>
      <c r="IL64" s="806"/>
      <c r="IM64" s="806"/>
      <c r="IN64" s="806"/>
      <c r="IO64" s="806"/>
      <c r="IP64" s="806"/>
      <c r="IQ64" s="806"/>
      <c r="IR64" s="806"/>
      <c r="IS64" s="806"/>
      <c r="IT64" s="806"/>
      <c r="IU64" s="806"/>
      <c r="IV64" s="806"/>
    </row>
    <row r="65" spans="1:256" ht="18">
      <c r="A65" s="809"/>
      <c r="B65" s="806"/>
      <c r="C65" s="806"/>
      <c r="D65" s="806"/>
      <c r="E65" s="806"/>
      <c r="F65" s="806"/>
      <c r="G65" s="806"/>
      <c r="H65" s="806"/>
      <c r="I65" s="806"/>
      <c r="J65" s="806"/>
      <c r="K65" s="806"/>
      <c r="L65" s="806"/>
      <c r="M65" s="806"/>
      <c r="N65" s="806"/>
      <c r="O65" s="819"/>
      <c r="P65" s="819"/>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6"/>
      <c r="AY65" s="806"/>
      <c r="AZ65" s="806"/>
      <c r="BA65" s="806"/>
      <c r="BB65" s="806"/>
      <c r="BC65" s="806"/>
      <c r="BD65" s="806"/>
      <c r="BE65" s="806"/>
      <c r="BF65" s="806"/>
      <c r="BG65" s="806"/>
      <c r="BH65" s="806"/>
      <c r="BI65" s="806"/>
      <c r="BJ65" s="806"/>
      <c r="BK65" s="806"/>
      <c r="BL65" s="806"/>
      <c r="BM65" s="806"/>
      <c r="BN65" s="806"/>
      <c r="BO65" s="806"/>
      <c r="BP65" s="806"/>
      <c r="BQ65" s="806"/>
      <c r="BR65" s="806"/>
      <c r="BS65" s="806"/>
      <c r="BT65" s="806"/>
      <c r="BU65" s="806"/>
      <c r="BV65" s="806"/>
      <c r="BW65" s="806"/>
      <c r="BX65" s="806"/>
      <c r="BY65" s="806"/>
      <c r="BZ65" s="806"/>
      <c r="CA65" s="806"/>
      <c r="CB65" s="806"/>
      <c r="CC65" s="806"/>
      <c r="CD65" s="806"/>
      <c r="CE65" s="806"/>
      <c r="CF65" s="806"/>
      <c r="CG65" s="806"/>
      <c r="CH65" s="806"/>
      <c r="CI65" s="806"/>
      <c r="CJ65" s="806"/>
      <c r="CK65" s="806"/>
      <c r="CL65" s="806"/>
      <c r="CM65" s="806"/>
      <c r="CN65" s="806"/>
      <c r="CO65" s="806"/>
      <c r="CP65" s="806"/>
      <c r="CQ65" s="806"/>
      <c r="CR65" s="806"/>
      <c r="CS65" s="806"/>
      <c r="CT65" s="806"/>
      <c r="CU65" s="806"/>
      <c r="CV65" s="806"/>
      <c r="CW65" s="806"/>
      <c r="CX65" s="806"/>
      <c r="CY65" s="806"/>
      <c r="CZ65" s="806"/>
      <c r="DA65" s="806"/>
      <c r="DB65" s="806"/>
      <c r="DC65" s="806"/>
      <c r="DD65" s="806"/>
      <c r="DE65" s="806"/>
      <c r="DF65" s="806"/>
      <c r="DG65" s="806"/>
      <c r="DH65" s="806"/>
      <c r="DI65" s="806"/>
      <c r="DJ65" s="806"/>
      <c r="DK65" s="806"/>
      <c r="DL65" s="806"/>
      <c r="DM65" s="806"/>
      <c r="DN65" s="806"/>
      <c r="DO65" s="806"/>
      <c r="DP65" s="806"/>
      <c r="DQ65" s="806"/>
      <c r="DR65" s="806"/>
      <c r="DS65" s="806"/>
      <c r="DT65" s="806"/>
      <c r="DU65" s="806"/>
      <c r="DV65" s="806"/>
      <c r="DW65" s="806"/>
      <c r="DX65" s="806"/>
      <c r="DY65" s="806"/>
      <c r="DZ65" s="806"/>
      <c r="EA65" s="806"/>
      <c r="EB65" s="806"/>
      <c r="EC65" s="806"/>
      <c r="ED65" s="806"/>
      <c r="EE65" s="806"/>
      <c r="EF65" s="806"/>
      <c r="EG65" s="806"/>
      <c r="EH65" s="806"/>
      <c r="EI65" s="806"/>
      <c r="EJ65" s="806"/>
      <c r="EK65" s="806"/>
      <c r="EL65" s="806"/>
      <c r="EM65" s="806"/>
      <c r="EN65" s="806"/>
      <c r="EO65" s="806"/>
      <c r="EP65" s="806"/>
      <c r="EQ65" s="806"/>
      <c r="ER65" s="806"/>
      <c r="ES65" s="806"/>
      <c r="ET65" s="806"/>
      <c r="EU65" s="806"/>
      <c r="EV65" s="806"/>
      <c r="EW65" s="806"/>
      <c r="EX65" s="806"/>
      <c r="EY65" s="806"/>
      <c r="EZ65" s="806"/>
      <c r="FA65" s="806"/>
      <c r="FB65" s="806"/>
      <c r="FC65" s="806"/>
      <c r="FD65" s="806"/>
      <c r="FE65" s="806"/>
      <c r="FF65" s="806"/>
      <c r="FG65" s="806"/>
      <c r="FH65" s="806"/>
      <c r="FI65" s="806"/>
      <c r="FJ65" s="806"/>
      <c r="FK65" s="806"/>
      <c r="FL65" s="806"/>
      <c r="FM65" s="806"/>
      <c r="FN65" s="806"/>
      <c r="FO65" s="806"/>
      <c r="FP65" s="806"/>
      <c r="FQ65" s="806"/>
      <c r="FR65" s="806"/>
      <c r="FS65" s="806"/>
      <c r="FT65" s="806"/>
      <c r="FU65" s="806"/>
      <c r="FV65" s="806"/>
      <c r="FW65" s="806"/>
      <c r="FX65" s="806"/>
      <c r="FY65" s="806"/>
      <c r="FZ65" s="806"/>
      <c r="GA65" s="806"/>
      <c r="GB65" s="806"/>
      <c r="GC65" s="806"/>
      <c r="GD65" s="806"/>
      <c r="GE65" s="806"/>
      <c r="GF65" s="806"/>
      <c r="GG65" s="806"/>
      <c r="GH65" s="806"/>
      <c r="GI65" s="806"/>
      <c r="GJ65" s="806"/>
      <c r="GK65" s="806"/>
      <c r="GL65" s="806"/>
      <c r="GM65" s="806"/>
      <c r="GN65" s="806"/>
      <c r="GO65" s="806"/>
      <c r="GP65" s="806"/>
      <c r="GQ65" s="806"/>
      <c r="GR65" s="806"/>
      <c r="GS65" s="806"/>
      <c r="GT65" s="806"/>
      <c r="GU65" s="806"/>
      <c r="GV65" s="806"/>
      <c r="GW65" s="806"/>
      <c r="GX65" s="806"/>
      <c r="GY65" s="806"/>
      <c r="GZ65" s="806"/>
      <c r="HA65" s="806"/>
      <c r="HB65" s="806"/>
      <c r="HC65" s="806"/>
      <c r="HD65" s="806"/>
      <c r="HE65" s="806"/>
      <c r="HF65" s="806"/>
      <c r="HG65" s="806"/>
      <c r="HH65" s="806"/>
      <c r="HI65" s="806"/>
      <c r="HJ65" s="806"/>
      <c r="HK65" s="806"/>
      <c r="HL65" s="806"/>
      <c r="HM65" s="806"/>
      <c r="HN65" s="806"/>
      <c r="HO65" s="806"/>
      <c r="HP65" s="806"/>
      <c r="HQ65" s="806"/>
      <c r="HR65" s="806"/>
      <c r="HS65" s="806"/>
      <c r="HT65" s="806"/>
      <c r="HU65" s="806"/>
      <c r="HV65" s="806"/>
      <c r="HW65" s="806"/>
      <c r="HX65" s="806"/>
      <c r="HY65" s="806"/>
      <c r="HZ65" s="806"/>
      <c r="IA65" s="806"/>
      <c r="IB65" s="806"/>
      <c r="IC65" s="806"/>
      <c r="ID65" s="806"/>
      <c r="IE65" s="806"/>
      <c r="IF65" s="806"/>
      <c r="IG65" s="806"/>
      <c r="IH65" s="806"/>
      <c r="II65" s="806"/>
      <c r="IJ65" s="806"/>
      <c r="IK65" s="806"/>
      <c r="IL65" s="806"/>
      <c r="IM65" s="806"/>
      <c r="IN65" s="806"/>
      <c r="IO65" s="806"/>
      <c r="IP65" s="806"/>
      <c r="IQ65" s="806"/>
      <c r="IR65" s="806"/>
      <c r="IS65" s="806"/>
      <c r="IT65" s="806"/>
      <c r="IU65" s="806"/>
      <c r="IV65" s="806"/>
    </row>
    <row r="66" spans="1:256" ht="18">
      <c r="A66" s="806"/>
      <c r="B66" s="806"/>
      <c r="C66" s="806"/>
      <c r="D66" s="806"/>
      <c r="E66" s="806"/>
      <c r="F66" s="806"/>
      <c r="G66" s="806"/>
      <c r="H66" s="806"/>
      <c r="I66" s="806"/>
      <c r="J66" s="806"/>
      <c r="K66" s="806"/>
      <c r="L66" s="806"/>
      <c r="M66" s="806"/>
      <c r="N66" s="806"/>
      <c r="O66" s="819"/>
      <c r="P66" s="819"/>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6"/>
      <c r="AY66" s="806"/>
      <c r="AZ66" s="806"/>
      <c r="BA66" s="806"/>
      <c r="BB66" s="806"/>
      <c r="BC66" s="806"/>
      <c r="BD66" s="806"/>
      <c r="BE66" s="806"/>
      <c r="BF66" s="806"/>
      <c r="BG66" s="806"/>
      <c r="BH66" s="806"/>
      <c r="BI66" s="806"/>
      <c r="BJ66" s="806"/>
      <c r="BK66" s="806"/>
      <c r="BL66" s="806"/>
      <c r="BM66" s="806"/>
      <c r="BN66" s="806"/>
      <c r="BO66" s="806"/>
      <c r="BP66" s="806"/>
      <c r="BQ66" s="806"/>
      <c r="BR66" s="806"/>
      <c r="BS66" s="806"/>
      <c r="BT66" s="806"/>
      <c r="BU66" s="806"/>
      <c r="BV66" s="806"/>
      <c r="BW66" s="806"/>
      <c r="BX66" s="806"/>
      <c r="BY66" s="806"/>
      <c r="BZ66" s="806"/>
      <c r="CA66" s="806"/>
      <c r="CB66" s="806"/>
      <c r="CC66" s="806"/>
      <c r="CD66" s="806"/>
      <c r="CE66" s="806"/>
      <c r="CF66" s="806"/>
      <c r="CG66" s="806"/>
      <c r="CH66" s="806"/>
      <c r="CI66" s="806"/>
      <c r="CJ66" s="806"/>
      <c r="CK66" s="806"/>
      <c r="CL66" s="806"/>
      <c r="CM66" s="806"/>
      <c r="CN66" s="806"/>
      <c r="CO66" s="806"/>
      <c r="CP66" s="806"/>
      <c r="CQ66" s="806"/>
      <c r="CR66" s="806"/>
      <c r="CS66" s="806"/>
      <c r="CT66" s="806"/>
      <c r="CU66" s="806"/>
      <c r="CV66" s="806"/>
      <c r="CW66" s="806"/>
      <c r="CX66" s="806"/>
      <c r="CY66" s="806"/>
      <c r="CZ66" s="806"/>
      <c r="DA66" s="806"/>
      <c r="DB66" s="806"/>
      <c r="DC66" s="806"/>
      <c r="DD66" s="806"/>
      <c r="DE66" s="806"/>
      <c r="DF66" s="806"/>
      <c r="DG66" s="806"/>
      <c r="DH66" s="806"/>
      <c r="DI66" s="806"/>
      <c r="DJ66" s="806"/>
      <c r="DK66" s="806"/>
      <c r="DL66" s="806"/>
      <c r="DM66" s="806"/>
      <c r="DN66" s="806"/>
      <c r="DO66" s="806"/>
      <c r="DP66" s="806"/>
      <c r="DQ66" s="806"/>
      <c r="DR66" s="806"/>
      <c r="DS66" s="806"/>
      <c r="DT66" s="806"/>
      <c r="DU66" s="806"/>
      <c r="DV66" s="806"/>
      <c r="DW66" s="806"/>
      <c r="DX66" s="806"/>
      <c r="DY66" s="806"/>
      <c r="DZ66" s="806"/>
      <c r="EA66" s="806"/>
      <c r="EB66" s="806"/>
      <c r="EC66" s="806"/>
      <c r="ED66" s="806"/>
      <c r="EE66" s="806"/>
      <c r="EF66" s="806"/>
      <c r="EG66" s="806"/>
      <c r="EH66" s="806"/>
      <c r="EI66" s="806"/>
      <c r="EJ66" s="806"/>
      <c r="EK66" s="806"/>
      <c r="EL66" s="806"/>
      <c r="EM66" s="806"/>
      <c r="EN66" s="806"/>
      <c r="EO66" s="806"/>
      <c r="EP66" s="806"/>
      <c r="EQ66" s="806"/>
      <c r="ER66" s="806"/>
      <c r="ES66" s="806"/>
      <c r="ET66" s="806"/>
      <c r="EU66" s="806"/>
      <c r="EV66" s="806"/>
      <c r="EW66" s="806"/>
      <c r="EX66" s="806"/>
      <c r="EY66" s="806"/>
      <c r="EZ66" s="806"/>
      <c r="FA66" s="806"/>
      <c r="FB66" s="806"/>
      <c r="FC66" s="806"/>
      <c r="FD66" s="806"/>
      <c r="FE66" s="806"/>
      <c r="FF66" s="806"/>
      <c r="FG66" s="806"/>
      <c r="FH66" s="806"/>
      <c r="FI66" s="806"/>
      <c r="FJ66" s="806"/>
      <c r="FK66" s="806"/>
      <c r="FL66" s="806"/>
      <c r="FM66" s="806"/>
      <c r="FN66" s="806"/>
      <c r="FO66" s="806"/>
      <c r="FP66" s="806"/>
      <c r="FQ66" s="806"/>
      <c r="FR66" s="806"/>
      <c r="FS66" s="806"/>
      <c r="FT66" s="806"/>
      <c r="FU66" s="806"/>
      <c r="FV66" s="806"/>
      <c r="FW66" s="806"/>
      <c r="FX66" s="806"/>
      <c r="FY66" s="806"/>
      <c r="FZ66" s="806"/>
      <c r="GA66" s="806"/>
      <c r="GB66" s="806"/>
      <c r="GC66" s="806"/>
      <c r="GD66" s="806"/>
      <c r="GE66" s="806"/>
      <c r="GF66" s="806"/>
      <c r="GG66" s="806"/>
      <c r="GH66" s="806"/>
      <c r="GI66" s="806"/>
      <c r="GJ66" s="806"/>
      <c r="GK66" s="806"/>
      <c r="GL66" s="806"/>
      <c r="GM66" s="806"/>
      <c r="GN66" s="806"/>
      <c r="GO66" s="806"/>
      <c r="GP66" s="806"/>
      <c r="GQ66" s="806"/>
      <c r="GR66" s="806"/>
      <c r="GS66" s="806"/>
      <c r="GT66" s="806"/>
      <c r="GU66" s="806"/>
      <c r="GV66" s="806"/>
      <c r="GW66" s="806"/>
      <c r="GX66" s="806"/>
      <c r="GY66" s="806"/>
      <c r="GZ66" s="806"/>
      <c r="HA66" s="806"/>
      <c r="HB66" s="806"/>
      <c r="HC66" s="806"/>
      <c r="HD66" s="806"/>
      <c r="HE66" s="806"/>
      <c r="HF66" s="806"/>
      <c r="HG66" s="806"/>
      <c r="HH66" s="806"/>
      <c r="HI66" s="806"/>
      <c r="HJ66" s="806"/>
      <c r="HK66" s="806"/>
      <c r="HL66" s="806"/>
      <c r="HM66" s="806"/>
      <c r="HN66" s="806"/>
      <c r="HO66" s="806"/>
      <c r="HP66" s="806"/>
      <c r="HQ66" s="806"/>
      <c r="HR66" s="806"/>
      <c r="HS66" s="806"/>
      <c r="HT66" s="806"/>
      <c r="HU66" s="806"/>
      <c r="HV66" s="806"/>
      <c r="HW66" s="806"/>
      <c r="HX66" s="806"/>
      <c r="HY66" s="806"/>
      <c r="HZ66" s="806"/>
      <c r="IA66" s="806"/>
      <c r="IB66" s="806"/>
      <c r="IC66" s="806"/>
      <c r="ID66" s="806"/>
      <c r="IE66" s="806"/>
      <c r="IF66" s="806"/>
      <c r="IG66" s="806"/>
      <c r="IH66" s="806"/>
      <c r="II66" s="806"/>
      <c r="IJ66" s="806"/>
      <c r="IK66" s="806"/>
      <c r="IL66" s="806"/>
      <c r="IM66" s="806"/>
      <c r="IN66" s="806"/>
      <c r="IO66" s="806"/>
      <c r="IP66" s="806"/>
      <c r="IQ66" s="806"/>
      <c r="IR66" s="806"/>
      <c r="IS66" s="806"/>
      <c r="IT66" s="806"/>
      <c r="IU66" s="806"/>
      <c r="IV66" s="806"/>
    </row>
    <row r="67" spans="1:256" ht="20.100000000000001" customHeight="1">
      <c r="A67" s="806"/>
      <c r="B67" s="806"/>
      <c r="C67" s="824"/>
      <c r="D67" s="825"/>
      <c r="E67" s="824"/>
      <c r="F67" s="826"/>
      <c r="G67" s="824"/>
      <c r="H67" s="827"/>
      <c r="I67" s="824"/>
      <c r="J67" s="828"/>
      <c r="K67" s="824"/>
      <c r="L67" s="825"/>
      <c r="M67" s="806"/>
      <c r="N67" s="806"/>
      <c r="O67" s="819"/>
      <c r="P67" s="819"/>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6"/>
      <c r="AY67" s="806"/>
      <c r="AZ67" s="806"/>
      <c r="BA67" s="806"/>
      <c r="BB67" s="806"/>
      <c r="BC67" s="806"/>
      <c r="BD67" s="806"/>
      <c r="BE67" s="806"/>
      <c r="BF67" s="806"/>
      <c r="BG67" s="806"/>
      <c r="BH67" s="806"/>
      <c r="BI67" s="806"/>
      <c r="BJ67" s="806"/>
      <c r="BK67" s="806"/>
      <c r="BL67" s="806"/>
      <c r="BM67" s="806"/>
      <c r="BN67" s="806"/>
      <c r="BO67" s="806"/>
      <c r="BP67" s="806"/>
      <c r="BQ67" s="806"/>
      <c r="BR67" s="806"/>
      <c r="BS67" s="806"/>
      <c r="BT67" s="806"/>
      <c r="BU67" s="806"/>
      <c r="BV67" s="806"/>
      <c r="BW67" s="806"/>
      <c r="BX67" s="806"/>
      <c r="BY67" s="806"/>
      <c r="BZ67" s="806"/>
      <c r="CA67" s="806"/>
      <c r="CB67" s="806"/>
      <c r="CC67" s="806"/>
      <c r="CD67" s="806"/>
      <c r="CE67" s="806"/>
      <c r="CF67" s="806"/>
      <c r="CG67" s="806"/>
      <c r="CH67" s="806"/>
      <c r="CI67" s="806"/>
      <c r="CJ67" s="806"/>
      <c r="CK67" s="806"/>
      <c r="CL67" s="806"/>
      <c r="CM67" s="806"/>
      <c r="CN67" s="806"/>
      <c r="CO67" s="806"/>
      <c r="CP67" s="806"/>
      <c r="CQ67" s="806"/>
      <c r="CR67" s="806"/>
      <c r="CS67" s="806"/>
      <c r="CT67" s="806"/>
      <c r="CU67" s="806"/>
      <c r="CV67" s="806"/>
      <c r="CW67" s="806"/>
      <c r="CX67" s="806"/>
      <c r="CY67" s="806"/>
      <c r="CZ67" s="806"/>
      <c r="DA67" s="806"/>
      <c r="DB67" s="806"/>
      <c r="DC67" s="806"/>
      <c r="DD67" s="806"/>
      <c r="DE67" s="806"/>
      <c r="DF67" s="806"/>
      <c r="DG67" s="806"/>
      <c r="DH67" s="806"/>
      <c r="DI67" s="806"/>
      <c r="DJ67" s="806"/>
      <c r="DK67" s="806"/>
      <c r="DL67" s="806"/>
      <c r="DM67" s="806"/>
      <c r="DN67" s="806"/>
      <c r="DO67" s="806"/>
      <c r="DP67" s="806"/>
      <c r="DQ67" s="806"/>
      <c r="DR67" s="806"/>
      <c r="DS67" s="806"/>
      <c r="DT67" s="806"/>
      <c r="DU67" s="806"/>
      <c r="DV67" s="806"/>
      <c r="DW67" s="806"/>
      <c r="DX67" s="806"/>
      <c r="DY67" s="806"/>
      <c r="DZ67" s="806"/>
      <c r="EA67" s="806"/>
      <c r="EB67" s="806"/>
      <c r="EC67" s="806"/>
      <c r="ED67" s="806"/>
      <c r="EE67" s="806"/>
      <c r="EF67" s="806"/>
      <c r="EG67" s="806"/>
      <c r="EH67" s="806"/>
      <c r="EI67" s="806"/>
      <c r="EJ67" s="806"/>
      <c r="EK67" s="806"/>
      <c r="EL67" s="806"/>
      <c r="EM67" s="806"/>
      <c r="EN67" s="806"/>
      <c r="EO67" s="806"/>
      <c r="EP67" s="806"/>
      <c r="EQ67" s="806"/>
      <c r="ER67" s="806"/>
      <c r="ES67" s="806"/>
      <c r="ET67" s="806"/>
      <c r="EU67" s="806"/>
      <c r="EV67" s="806"/>
      <c r="EW67" s="806"/>
      <c r="EX67" s="806"/>
      <c r="EY67" s="806"/>
      <c r="EZ67" s="806"/>
      <c r="FA67" s="806"/>
      <c r="FB67" s="806"/>
      <c r="FC67" s="806"/>
      <c r="FD67" s="806"/>
      <c r="FE67" s="806"/>
      <c r="FF67" s="806"/>
      <c r="FG67" s="806"/>
      <c r="FH67" s="806"/>
      <c r="FI67" s="806"/>
      <c r="FJ67" s="806"/>
      <c r="FK67" s="806"/>
      <c r="FL67" s="806"/>
      <c r="FM67" s="806"/>
      <c r="FN67" s="806"/>
      <c r="FO67" s="806"/>
      <c r="FP67" s="806"/>
      <c r="FQ67" s="806"/>
      <c r="FR67" s="806"/>
      <c r="FS67" s="806"/>
      <c r="FT67" s="806"/>
      <c r="FU67" s="806"/>
      <c r="FV67" s="806"/>
      <c r="FW67" s="806"/>
      <c r="FX67" s="806"/>
      <c r="FY67" s="806"/>
      <c r="FZ67" s="806"/>
      <c r="GA67" s="806"/>
      <c r="GB67" s="806"/>
      <c r="GC67" s="806"/>
      <c r="GD67" s="806"/>
      <c r="GE67" s="806"/>
      <c r="GF67" s="806"/>
      <c r="GG67" s="806"/>
      <c r="GH67" s="806"/>
      <c r="GI67" s="806"/>
      <c r="GJ67" s="806"/>
      <c r="GK67" s="806"/>
      <c r="GL67" s="806"/>
      <c r="GM67" s="806"/>
      <c r="GN67" s="806"/>
      <c r="GO67" s="806"/>
      <c r="GP67" s="806"/>
      <c r="GQ67" s="806"/>
      <c r="GR67" s="806"/>
      <c r="GS67" s="806"/>
      <c r="GT67" s="806"/>
      <c r="GU67" s="806"/>
      <c r="GV67" s="806"/>
      <c r="GW67" s="806"/>
      <c r="GX67" s="806"/>
      <c r="GY67" s="806"/>
      <c r="GZ67" s="806"/>
      <c r="HA67" s="806"/>
      <c r="HB67" s="806"/>
      <c r="HC67" s="806"/>
      <c r="HD67" s="806"/>
      <c r="HE67" s="806"/>
      <c r="HF67" s="806"/>
      <c r="HG67" s="806"/>
      <c r="HH67" s="806"/>
      <c r="HI67" s="806"/>
      <c r="HJ67" s="806"/>
      <c r="HK67" s="806"/>
      <c r="HL67" s="806"/>
      <c r="HM67" s="806"/>
      <c r="HN67" s="806"/>
      <c r="HO67" s="806"/>
      <c r="HP67" s="806"/>
      <c r="HQ67" s="806"/>
      <c r="HR67" s="806"/>
      <c r="HS67" s="806"/>
      <c r="HT67" s="806"/>
      <c r="HU67" s="806"/>
      <c r="HV67" s="806"/>
      <c r="HW67" s="806"/>
      <c r="HX67" s="806"/>
      <c r="HY67" s="806"/>
      <c r="HZ67" s="806"/>
      <c r="IA67" s="806"/>
      <c r="IB67" s="806"/>
      <c r="IC67" s="806"/>
      <c r="ID67" s="806"/>
      <c r="IE67" s="806"/>
      <c r="IF67" s="806"/>
      <c r="IG67" s="806"/>
      <c r="IH67" s="806"/>
      <c r="II67" s="806"/>
      <c r="IJ67" s="806"/>
      <c r="IK67" s="806"/>
      <c r="IL67" s="806"/>
      <c r="IM67" s="806"/>
      <c r="IN67" s="806"/>
      <c r="IO67" s="806"/>
      <c r="IP67" s="806"/>
      <c r="IQ67" s="806"/>
      <c r="IR67" s="806"/>
      <c r="IS67" s="806"/>
      <c r="IT67" s="806"/>
      <c r="IU67" s="806"/>
      <c r="IV67" s="806"/>
    </row>
    <row r="68" spans="1:256" ht="20.100000000000001" customHeight="1">
      <c r="A68" s="806"/>
      <c r="B68" s="806"/>
      <c r="C68" s="806"/>
      <c r="D68" s="825"/>
      <c r="E68" s="806"/>
      <c r="F68" s="806"/>
      <c r="G68" s="806"/>
      <c r="H68" s="827"/>
      <c r="I68" s="806"/>
      <c r="J68" s="828"/>
      <c r="K68" s="806"/>
      <c r="L68" s="825"/>
      <c r="M68" s="806"/>
      <c r="N68" s="806"/>
      <c r="O68" s="819"/>
      <c r="P68" s="819"/>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6"/>
      <c r="BA68" s="806"/>
      <c r="BB68" s="806"/>
      <c r="BC68" s="806"/>
      <c r="BD68" s="806"/>
      <c r="BE68" s="806"/>
      <c r="BF68" s="806"/>
      <c r="BG68" s="806"/>
      <c r="BH68" s="806"/>
      <c r="BI68" s="806"/>
      <c r="BJ68" s="806"/>
      <c r="BK68" s="806"/>
      <c r="BL68" s="806"/>
      <c r="BM68" s="806"/>
      <c r="BN68" s="806"/>
      <c r="BO68" s="806"/>
      <c r="BP68" s="806"/>
      <c r="BQ68" s="806"/>
      <c r="BR68" s="806"/>
      <c r="BS68" s="806"/>
      <c r="BT68" s="806"/>
      <c r="BU68" s="806"/>
      <c r="BV68" s="806"/>
      <c r="BW68" s="806"/>
      <c r="BX68" s="806"/>
      <c r="BY68" s="806"/>
      <c r="BZ68" s="806"/>
      <c r="CA68" s="806"/>
      <c r="CB68" s="806"/>
      <c r="CC68" s="806"/>
      <c r="CD68" s="806"/>
      <c r="CE68" s="806"/>
      <c r="CF68" s="806"/>
      <c r="CG68" s="806"/>
      <c r="CH68" s="806"/>
      <c r="CI68" s="806"/>
      <c r="CJ68" s="806"/>
      <c r="CK68" s="806"/>
      <c r="CL68" s="806"/>
      <c r="CM68" s="806"/>
      <c r="CN68" s="806"/>
      <c r="CO68" s="806"/>
      <c r="CP68" s="806"/>
      <c r="CQ68" s="806"/>
      <c r="CR68" s="806"/>
      <c r="CS68" s="806"/>
      <c r="CT68" s="806"/>
      <c r="CU68" s="806"/>
      <c r="CV68" s="806"/>
      <c r="CW68" s="806"/>
      <c r="CX68" s="806"/>
      <c r="CY68" s="806"/>
      <c r="CZ68" s="806"/>
      <c r="DA68" s="806"/>
      <c r="DB68" s="806"/>
      <c r="DC68" s="806"/>
      <c r="DD68" s="806"/>
      <c r="DE68" s="806"/>
      <c r="DF68" s="806"/>
      <c r="DG68" s="806"/>
      <c r="DH68" s="806"/>
      <c r="DI68" s="806"/>
      <c r="DJ68" s="806"/>
      <c r="DK68" s="806"/>
      <c r="DL68" s="806"/>
      <c r="DM68" s="806"/>
      <c r="DN68" s="806"/>
      <c r="DO68" s="806"/>
      <c r="DP68" s="806"/>
      <c r="DQ68" s="806"/>
      <c r="DR68" s="806"/>
      <c r="DS68" s="806"/>
      <c r="DT68" s="806"/>
      <c r="DU68" s="806"/>
      <c r="DV68" s="806"/>
      <c r="DW68" s="806"/>
      <c r="DX68" s="806"/>
      <c r="DY68" s="806"/>
      <c r="DZ68" s="806"/>
      <c r="EA68" s="806"/>
      <c r="EB68" s="806"/>
      <c r="EC68" s="806"/>
      <c r="ED68" s="806"/>
      <c r="EE68" s="806"/>
      <c r="EF68" s="806"/>
      <c r="EG68" s="806"/>
      <c r="EH68" s="806"/>
      <c r="EI68" s="806"/>
      <c r="EJ68" s="806"/>
      <c r="EK68" s="806"/>
      <c r="EL68" s="806"/>
      <c r="EM68" s="806"/>
      <c r="EN68" s="806"/>
      <c r="EO68" s="806"/>
      <c r="EP68" s="806"/>
      <c r="EQ68" s="806"/>
      <c r="ER68" s="806"/>
      <c r="ES68" s="806"/>
      <c r="ET68" s="806"/>
      <c r="EU68" s="806"/>
      <c r="EV68" s="806"/>
      <c r="EW68" s="806"/>
      <c r="EX68" s="806"/>
      <c r="EY68" s="806"/>
      <c r="EZ68" s="806"/>
      <c r="FA68" s="806"/>
      <c r="FB68" s="806"/>
      <c r="FC68" s="806"/>
      <c r="FD68" s="806"/>
      <c r="FE68" s="806"/>
      <c r="FF68" s="806"/>
      <c r="FG68" s="806"/>
      <c r="FH68" s="806"/>
      <c r="FI68" s="806"/>
      <c r="FJ68" s="806"/>
      <c r="FK68" s="806"/>
      <c r="FL68" s="806"/>
      <c r="FM68" s="806"/>
      <c r="FN68" s="806"/>
      <c r="FO68" s="806"/>
      <c r="FP68" s="806"/>
      <c r="FQ68" s="806"/>
      <c r="FR68" s="806"/>
      <c r="FS68" s="806"/>
      <c r="FT68" s="806"/>
      <c r="FU68" s="806"/>
      <c r="FV68" s="806"/>
      <c r="FW68" s="806"/>
      <c r="FX68" s="806"/>
      <c r="FY68" s="806"/>
      <c r="FZ68" s="806"/>
      <c r="GA68" s="806"/>
      <c r="GB68" s="806"/>
      <c r="GC68" s="806"/>
      <c r="GD68" s="806"/>
      <c r="GE68" s="806"/>
      <c r="GF68" s="806"/>
      <c r="GG68" s="806"/>
      <c r="GH68" s="806"/>
      <c r="GI68" s="806"/>
      <c r="GJ68" s="806"/>
      <c r="GK68" s="806"/>
      <c r="GL68" s="806"/>
      <c r="GM68" s="806"/>
      <c r="GN68" s="806"/>
      <c r="GO68" s="806"/>
      <c r="GP68" s="806"/>
      <c r="GQ68" s="806"/>
      <c r="GR68" s="806"/>
      <c r="GS68" s="806"/>
      <c r="GT68" s="806"/>
      <c r="GU68" s="806"/>
      <c r="GV68" s="806"/>
      <c r="GW68" s="806"/>
      <c r="GX68" s="806"/>
      <c r="GY68" s="806"/>
      <c r="GZ68" s="806"/>
      <c r="HA68" s="806"/>
      <c r="HB68" s="806"/>
      <c r="HC68" s="806"/>
      <c r="HD68" s="806"/>
      <c r="HE68" s="806"/>
      <c r="HF68" s="806"/>
      <c r="HG68" s="806"/>
      <c r="HH68" s="806"/>
      <c r="HI68" s="806"/>
      <c r="HJ68" s="806"/>
      <c r="HK68" s="806"/>
      <c r="HL68" s="806"/>
      <c r="HM68" s="806"/>
      <c r="HN68" s="806"/>
      <c r="HO68" s="806"/>
      <c r="HP68" s="806"/>
      <c r="HQ68" s="806"/>
      <c r="HR68" s="806"/>
      <c r="HS68" s="806"/>
      <c r="HT68" s="806"/>
      <c r="HU68" s="806"/>
      <c r="HV68" s="806"/>
      <c r="HW68" s="806"/>
      <c r="HX68" s="806"/>
      <c r="HY68" s="806"/>
      <c r="HZ68" s="806"/>
      <c r="IA68" s="806"/>
      <c r="IB68" s="806"/>
      <c r="IC68" s="806"/>
      <c r="ID68" s="806"/>
      <c r="IE68" s="806"/>
      <c r="IF68" s="806"/>
      <c r="IG68" s="806"/>
      <c r="IH68" s="806"/>
      <c r="II68" s="806"/>
      <c r="IJ68" s="806"/>
      <c r="IK68" s="806"/>
      <c r="IL68" s="806"/>
      <c r="IM68" s="806"/>
      <c r="IN68" s="806"/>
      <c r="IO68" s="806"/>
      <c r="IP68" s="806"/>
      <c r="IQ68" s="806"/>
      <c r="IR68" s="806"/>
      <c r="IS68" s="806"/>
      <c r="IT68" s="806"/>
      <c r="IU68" s="806"/>
      <c r="IV68" s="806"/>
    </row>
    <row r="69" spans="1:256" ht="20.100000000000001" customHeight="1">
      <c r="A69" s="806"/>
      <c r="B69" s="806"/>
      <c r="C69" s="806"/>
      <c r="D69" s="825"/>
      <c r="E69" s="806"/>
      <c r="F69" s="806"/>
      <c r="G69" s="806"/>
      <c r="H69" s="829"/>
      <c r="I69" s="806"/>
      <c r="J69" s="828"/>
      <c r="K69" s="806"/>
      <c r="L69" s="825"/>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6"/>
      <c r="AY69" s="806"/>
      <c r="AZ69" s="806"/>
      <c r="BA69" s="806"/>
      <c r="BB69" s="806"/>
      <c r="BC69" s="806"/>
      <c r="BD69" s="806"/>
      <c r="BE69" s="806"/>
      <c r="BF69" s="806"/>
      <c r="BG69" s="806"/>
      <c r="BH69" s="806"/>
      <c r="BI69" s="806"/>
      <c r="BJ69" s="806"/>
      <c r="BK69" s="806"/>
      <c r="BL69" s="806"/>
      <c r="BM69" s="806"/>
      <c r="BN69" s="806"/>
      <c r="BO69" s="806"/>
      <c r="BP69" s="806"/>
      <c r="BQ69" s="806"/>
      <c r="BR69" s="806"/>
      <c r="BS69" s="806"/>
      <c r="BT69" s="806"/>
      <c r="BU69" s="806"/>
      <c r="BV69" s="806"/>
      <c r="BW69" s="806"/>
      <c r="BX69" s="806"/>
      <c r="BY69" s="806"/>
      <c r="BZ69" s="806"/>
      <c r="CA69" s="806"/>
      <c r="CB69" s="806"/>
      <c r="CC69" s="806"/>
      <c r="CD69" s="806"/>
      <c r="CE69" s="806"/>
      <c r="CF69" s="806"/>
      <c r="CG69" s="806"/>
      <c r="CH69" s="806"/>
      <c r="CI69" s="806"/>
      <c r="CJ69" s="806"/>
      <c r="CK69" s="806"/>
      <c r="CL69" s="806"/>
      <c r="CM69" s="806"/>
      <c r="CN69" s="806"/>
      <c r="CO69" s="806"/>
      <c r="CP69" s="806"/>
      <c r="CQ69" s="806"/>
      <c r="CR69" s="806"/>
      <c r="CS69" s="806"/>
      <c r="CT69" s="806"/>
      <c r="CU69" s="806"/>
      <c r="CV69" s="806"/>
      <c r="CW69" s="806"/>
      <c r="CX69" s="806"/>
      <c r="CY69" s="806"/>
      <c r="CZ69" s="806"/>
      <c r="DA69" s="806"/>
      <c r="DB69" s="806"/>
      <c r="DC69" s="806"/>
      <c r="DD69" s="806"/>
      <c r="DE69" s="806"/>
      <c r="DF69" s="806"/>
      <c r="DG69" s="806"/>
      <c r="DH69" s="806"/>
      <c r="DI69" s="806"/>
      <c r="DJ69" s="806"/>
      <c r="DK69" s="806"/>
      <c r="DL69" s="806"/>
      <c r="DM69" s="806"/>
      <c r="DN69" s="806"/>
      <c r="DO69" s="806"/>
      <c r="DP69" s="806"/>
      <c r="DQ69" s="806"/>
      <c r="DR69" s="806"/>
      <c r="DS69" s="806"/>
      <c r="DT69" s="806"/>
      <c r="DU69" s="806"/>
      <c r="DV69" s="806"/>
      <c r="DW69" s="806"/>
      <c r="DX69" s="806"/>
      <c r="DY69" s="806"/>
      <c r="DZ69" s="806"/>
      <c r="EA69" s="806"/>
      <c r="EB69" s="806"/>
      <c r="EC69" s="806"/>
      <c r="ED69" s="806"/>
      <c r="EE69" s="806"/>
      <c r="EF69" s="806"/>
      <c r="EG69" s="806"/>
      <c r="EH69" s="806"/>
      <c r="EI69" s="806"/>
      <c r="EJ69" s="806"/>
      <c r="EK69" s="806"/>
      <c r="EL69" s="806"/>
      <c r="EM69" s="806"/>
      <c r="EN69" s="806"/>
      <c r="EO69" s="806"/>
      <c r="EP69" s="806"/>
      <c r="EQ69" s="806"/>
      <c r="ER69" s="806"/>
      <c r="ES69" s="806"/>
      <c r="ET69" s="806"/>
      <c r="EU69" s="806"/>
      <c r="EV69" s="806"/>
      <c r="EW69" s="806"/>
      <c r="EX69" s="806"/>
      <c r="EY69" s="806"/>
      <c r="EZ69" s="806"/>
      <c r="FA69" s="806"/>
      <c r="FB69" s="806"/>
      <c r="FC69" s="806"/>
      <c r="FD69" s="806"/>
      <c r="FE69" s="806"/>
      <c r="FF69" s="806"/>
      <c r="FG69" s="806"/>
      <c r="FH69" s="806"/>
      <c r="FI69" s="806"/>
      <c r="FJ69" s="806"/>
      <c r="FK69" s="806"/>
      <c r="FL69" s="806"/>
      <c r="FM69" s="806"/>
      <c r="FN69" s="806"/>
      <c r="FO69" s="806"/>
      <c r="FP69" s="806"/>
      <c r="FQ69" s="806"/>
      <c r="FR69" s="806"/>
      <c r="FS69" s="806"/>
      <c r="FT69" s="806"/>
      <c r="FU69" s="806"/>
      <c r="FV69" s="806"/>
      <c r="FW69" s="806"/>
      <c r="FX69" s="806"/>
      <c r="FY69" s="806"/>
      <c r="FZ69" s="806"/>
      <c r="GA69" s="806"/>
      <c r="GB69" s="806"/>
      <c r="GC69" s="806"/>
      <c r="GD69" s="806"/>
      <c r="GE69" s="806"/>
      <c r="GF69" s="806"/>
      <c r="GG69" s="806"/>
      <c r="GH69" s="806"/>
      <c r="GI69" s="806"/>
      <c r="GJ69" s="806"/>
      <c r="GK69" s="806"/>
      <c r="GL69" s="806"/>
      <c r="GM69" s="806"/>
      <c r="GN69" s="806"/>
      <c r="GO69" s="806"/>
      <c r="GP69" s="806"/>
      <c r="GQ69" s="806"/>
      <c r="GR69" s="806"/>
      <c r="GS69" s="806"/>
      <c r="GT69" s="806"/>
      <c r="GU69" s="806"/>
      <c r="GV69" s="806"/>
      <c r="GW69" s="806"/>
      <c r="GX69" s="806"/>
      <c r="GY69" s="806"/>
      <c r="GZ69" s="806"/>
      <c r="HA69" s="806"/>
      <c r="HB69" s="806"/>
      <c r="HC69" s="806"/>
      <c r="HD69" s="806"/>
      <c r="HE69" s="806"/>
      <c r="HF69" s="806"/>
      <c r="HG69" s="806"/>
      <c r="HH69" s="806"/>
      <c r="HI69" s="806"/>
      <c r="HJ69" s="806"/>
      <c r="HK69" s="806"/>
      <c r="HL69" s="806"/>
      <c r="HM69" s="806"/>
      <c r="HN69" s="806"/>
      <c r="HO69" s="806"/>
      <c r="HP69" s="806"/>
      <c r="HQ69" s="806"/>
      <c r="HR69" s="806"/>
      <c r="HS69" s="806"/>
      <c r="HT69" s="806"/>
      <c r="HU69" s="806"/>
      <c r="HV69" s="806"/>
      <c r="HW69" s="806"/>
      <c r="HX69" s="806"/>
      <c r="HY69" s="806"/>
      <c r="HZ69" s="806"/>
      <c r="IA69" s="806"/>
      <c r="IB69" s="806"/>
      <c r="IC69" s="806"/>
      <c r="ID69" s="806"/>
      <c r="IE69" s="806"/>
      <c r="IF69" s="806"/>
      <c r="IG69" s="806"/>
      <c r="IH69" s="806"/>
      <c r="II69" s="806"/>
      <c r="IJ69" s="806"/>
      <c r="IK69" s="806"/>
      <c r="IL69" s="806"/>
      <c r="IM69" s="806"/>
      <c r="IN69" s="806"/>
      <c r="IO69" s="806"/>
      <c r="IP69" s="806"/>
      <c r="IQ69" s="806"/>
      <c r="IR69" s="806"/>
      <c r="IS69" s="806"/>
      <c r="IT69" s="806"/>
      <c r="IU69" s="806"/>
      <c r="IV69" s="806"/>
    </row>
    <row r="70" spans="1:256" ht="20.100000000000001" customHeight="1">
      <c r="A70" s="806"/>
      <c r="B70" s="806"/>
      <c r="C70" s="806"/>
      <c r="D70" s="825"/>
      <c r="E70" s="806"/>
      <c r="F70" s="806"/>
      <c r="G70" s="806"/>
      <c r="H70" s="827"/>
      <c r="I70" s="806"/>
      <c r="J70" s="828"/>
      <c r="K70" s="806"/>
      <c r="L70" s="825"/>
      <c r="M70" s="806"/>
      <c r="N70" s="806"/>
      <c r="O70" s="819"/>
      <c r="P70" s="819"/>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6"/>
      <c r="AZ70" s="806"/>
      <c r="BA70" s="806"/>
      <c r="BB70" s="806"/>
      <c r="BC70" s="806"/>
      <c r="BD70" s="806"/>
      <c r="BE70" s="806"/>
      <c r="BF70" s="806"/>
      <c r="BG70" s="806"/>
      <c r="BH70" s="806"/>
      <c r="BI70" s="806"/>
      <c r="BJ70" s="806"/>
      <c r="BK70" s="806"/>
      <c r="BL70" s="806"/>
      <c r="BM70" s="806"/>
      <c r="BN70" s="806"/>
      <c r="BO70" s="806"/>
      <c r="BP70" s="806"/>
      <c r="BQ70" s="806"/>
      <c r="BR70" s="806"/>
      <c r="BS70" s="806"/>
      <c r="BT70" s="806"/>
      <c r="BU70" s="806"/>
      <c r="BV70" s="806"/>
      <c r="BW70" s="806"/>
      <c r="BX70" s="806"/>
      <c r="BY70" s="806"/>
      <c r="BZ70" s="806"/>
      <c r="CA70" s="806"/>
      <c r="CB70" s="806"/>
      <c r="CC70" s="806"/>
      <c r="CD70" s="806"/>
      <c r="CE70" s="806"/>
      <c r="CF70" s="806"/>
      <c r="CG70" s="806"/>
      <c r="CH70" s="806"/>
      <c r="CI70" s="806"/>
      <c r="CJ70" s="806"/>
      <c r="CK70" s="806"/>
      <c r="CL70" s="806"/>
      <c r="CM70" s="806"/>
      <c r="CN70" s="806"/>
      <c r="CO70" s="806"/>
      <c r="CP70" s="806"/>
      <c r="CQ70" s="806"/>
      <c r="CR70" s="806"/>
      <c r="CS70" s="806"/>
      <c r="CT70" s="806"/>
      <c r="CU70" s="806"/>
      <c r="CV70" s="806"/>
      <c r="CW70" s="806"/>
      <c r="CX70" s="806"/>
      <c r="CY70" s="806"/>
      <c r="CZ70" s="806"/>
      <c r="DA70" s="806"/>
      <c r="DB70" s="806"/>
      <c r="DC70" s="806"/>
      <c r="DD70" s="806"/>
      <c r="DE70" s="806"/>
      <c r="DF70" s="806"/>
      <c r="DG70" s="806"/>
      <c r="DH70" s="806"/>
      <c r="DI70" s="806"/>
      <c r="DJ70" s="806"/>
      <c r="DK70" s="806"/>
      <c r="DL70" s="806"/>
      <c r="DM70" s="806"/>
      <c r="DN70" s="806"/>
      <c r="DO70" s="806"/>
      <c r="DP70" s="806"/>
      <c r="DQ70" s="806"/>
      <c r="DR70" s="806"/>
      <c r="DS70" s="806"/>
      <c r="DT70" s="806"/>
      <c r="DU70" s="806"/>
      <c r="DV70" s="806"/>
      <c r="DW70" s="806"/>
      <c r="DX70" s="806"/>
      <c r="DY70" s="806"/>
      <c r="DZ70" s="806"/>
      <c r="EA70" s="806"/>
      <c r="EB70" s="806"/>
      <c r="EC70" s="806"/>
      <c r="ED70" s="806"/>
      <c r="EE70" s="806"/>
      <c r="EF70" s="806"/>
      <c r="EG70" s="806"/>
      <c r="EH70" s="806"/>
      <c r="EI70" s="806"/>
      <c r="EJ70" s="806"/>
      <c r="EK70" s="806"/>
      <c r="EL70" s="806"/>
      <c r="EM70" s="806"/>
      <c r="EN70" s="806"/>
      <c r="EO70" s="806"/>
      <c r="EP70" s="806"/>
      <c r="EQ70" s="806"/>
      <c r="ER70" s="806"/>
      <c r="ES70" s="806"/>
      <c r="ET70" s="806"/>
      <c r="EU70" s="806"/>
      <c r="EV70" s="806"/>
      <c r="EW70" s="806"/>
      <c r="EX70" s="806"/>
      <c r="EY70" s="806"/>
      <c r="EZ70" s="806"/>
      <c r="FA70" s="806"/>
      <c r="FB70" s="806"/>
      <c r="FC70" s="806"/>
      <c r="FD70" s="806"/>
      <c r="FE70" s="806"/>
      <c r="FF70" s="806"/>
      <c r="FG70" s="806"/>
      <c r="FH70" s="806"/>
      <c r="FI70" s="806"/>
      <c r="FJ70" s="806"/>
      <c r="FK70" s="806"/>
      <c r="FL70" s="806"/>
      <c r="FM70" s="806"/>
      <c r="FN70" s="806"/>
      <c r="FO70" s="806"/>
      <c r="FP70" s="806"/>
      <c r="FQ70" s="806"/>
      <c r="FR70" s="806"/>
      <c r="FS70" s="806"/>
      <c r="FT70" s="806"/>
      <c r="FU70" s="806"/>
      <c r="FV70" s="806"/>
      <c r="FW70" s="806"/>
      <c r="FX70" s="806"/>
      <c r="FY70" s="806"/>
      <c r="FZ70" s="806"/>
      <c r="GA70" s="806"/>
      <c r="GB70" s="806"/>
      <c r="GC70" s="806"/>
      <c r="GD70" s="806"/>
      <c r="GE70" s="806"/>
      <c r="GF70" s="806"/>
      <c r="GG70" s="806"/>
      <c r="GH70" s="806"/>
      <c r="GI70" s="806"/>
      <c r="GJ70" s="806"/>
      <c r="GK70" s="806"/>
      <c r="GL70" s="806"/>
      <c r="GM70" s="806"/>
      <c r="GN70" s="806"/>
      <c r="GO70" s="806"/>
      <c r="GP70" s="806"/>
      <c r="GQ70" s="806"/>
      <c r="GR70" s="806"/>
      <c r="GS70" s="806"/>
      <c r="GT70" s="806"/>
      <c r="GU70" s="806"/>
      <c r="GV70" s="806"/>
      <c r="GW70" s="806"/>
      <c r="GX70" s="806"/>
      <c r="GY70" s="806"/>
      <c r="GZ70" s="806"/>
      <c r="HA70" s="806"/>
      <c r="HB70" s="806"/>
      <c r="HC70" s="806"/>
      <c r="HD70" s="806"/>
      <c r="HE70" s="806"/>
      <c r="HF70" s="806"/>
      <c r="HG70" s="806"/>
      <c r="HH70" s="806"/>
      <c r="HI70" s="806"/>
      <c r="HJ70" s="806"/>
      <c r="HK70" s="806"/>
      <c r="HL70" s="806"/>
      <c r="HM70" s="806"/>
      <c r="HN70" s="806"/>
      <c r="HO70" s="806"/>
      <c r="HP70" s="806"/>
      <c r="HQ70" s="806"/>
      <c r="HR70" s="806"/>
      <c r="HS70" s="806"/>
      <c r="HT70" s="806"/>
      <c r="HU70" s="806"/>
      <c r="HV70" s="806"/>
      <c r="HW70" s="806"/>
      <c r="HX70" s="806"/>
      <c r="HY70" s="806"/>
      <c r="HZ70" s="806"/>
      <c r="IA70" s="806"/>
      <c r="IB70" s="806"/>
      <c r="IC70" s="806"/>
      <c r="ID70" s="806"/>
      <c r="IE70" s="806"/>
      <c r="IF70" s="806"/>
      <c r="IG70" s="806"/>
      <c r="IH70" s="806"/>
      <c r="II70" s="806"/>
      <c r="IJ70" s="806"/>
      <c r="IK70" s="806"/>
      <c r="IL70" s="806"/>
      <c r="IM70" s="806"/>
      <c r="IN70" s="806"/>
      <c r="IO70" s="806"/>
      <c r="IP70" s="806"/>
      <c r="IQ70" s="806"/>
      <c r="IR70" s="806"/>
      <c r="IS70" s="806"/>
      <c r="IT70" s="806"/>
      <c r="IU70" s="806"/>
      <c r="IV70" s="806"/>
    </row>
    <row r="71" spans="1:256" ht="20.100000000000001" customHeight="1">
      <c r="A71" s="806"/>
      <c r="B71" s="806"/>
      <c r="C71" s="806"/>
      <c r="D71" s="825"/>
      <c r="E71" s="806"/>
      <c r="F71" s="806"/>
      <c r="G71" s="806"/>
      <c r="H71" s="827"/>
      <c r="I71" s="806"/>
      <c r="J71" s="828"/>
      <c r="K71" s="806"/>
      <c r="L71" s="825"/>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6"/>
      <c r="AY71" s="806"/>
      <c r="AZ71" s="806"/>
      <c r="BA71" s="806"/>
      <c r="BB71" s="806"/>
      <c r="BC71" s="806"/>
      <c r="BD71" s="806"/>
      <c r="BE71" s="806"/>
      <c r="BF71" s="806"/>
      <c r="BG71" s="806"/>
      <c r="BH71" s="806"/>
      <c r="BI71" s="806"/>
      <c r="BJ71" s="806"/>
      <c r="BK71" s="806"/>
      <c r="BL71" s="806"/>
      <c r="BM71" s="806"/>
      <c r="BN71" s="806"/>
      <c r="BO71" s="806"/>
      <c r="BP71" s="806"/>
      <c r="BQ71" s="806"/>
      <c r="BR71" s="806"/>
      <c r="BS71" s="806"/>
      <c r="BT71" s="806"/>
      <c r="BU71" s="806"/>
      <c r="BV71" s="806"/>
      <c r="BW71" s="806"/>
      <c r="BX71" s="806"/>
      <c r="BY71" s="806"/>
      <c r="BZ71" s="806"/>
      <c r="CA71" s="806"/>
      <c r="CB71" s="806"/>
      <c r="CC71" s="806"/>
      <c r="CD71" s="806"/>
      <c r="CE71" s="806"/>
      <c r="CF71" s="806"/>
      <c r="CG71" s="806"/>
      <c r="CH71" s="806"/>
      <c r="CI71" s="806"/>
      <c r="CJ71" s="806"/>
      <c r="CK71" s="806"/>
      <c r="CL71" s="806"/>
      <c r="CM71" s="806"/>
      <c r="CN71" s="806"/>
      <c r="CO71" s="806"/>
      <c r="CP71" s="806"/>
      <c r="CQ71" s="806"/>
      <c r="CR71" s="806"/>
      <c r="CS71" s="806"/>
      <c r="CT71" s="806"/>
      <c r="CU71" s="806"/>
      <c r="CV71" s="806"/>
      <c r="CW71" s="806"/>
      <c r="CX71" s="806"/>
      <c r="CY71" s="806"/>
      <c r="CZ71" s="806"/>
      <c r="DA71" s="806"/>
      <c r="DB71" s="806"/>
      <c r="DC71" s="806"/>
      <c r="DD71" s="806"/>
      <c r="DE71" s="806"/>
      <c r="DF71" s="806"/>
      <c r="DG71" s="806"/>
      <c r="DH71" s="806"/>
      <c r="DI71" s="806"/>
      <c r="DJ71" s="806"/>
      <c r="DK71" s="806"/>
      <c r="DL71" s="806"/>
      <c r="DM71" s="806"/>
      <c r="DN71" s="806"/>
      <c r="DO71" s="806"/>
      <c r="DP71" s="806"/>
      <c r="DQ71" s="806"/>
      <c r="DR71" s="806"/>
      <c r="DS71" s="806"/>
      <c r="DT71" s="806"/>
      <c r="DU71" s="806"/>
      <c r="DV71" s="806"/>
      <c r="DW71" s="806"/>
      <c r="DX71" s="806"/>
      <c r="DY71" s="806"/>
      <c r="DZ71" s="806"/>
      <c r="EA71" s="806"/>
      <c r="EB71" s="806"/>
      <c r="EC71" s="806"/>
      <c r="ED71" s="806"/>
      <c r="EE71" s="806"/>
      <c r="EF71" s="806"/>
      <c r="EG71" s="806"/>
      <c r="EH71" s="806"/>
      <c r="EI71" s="806"/>
      <c r="EJ71" s="806"/>
      <c r="EK71" s="806"/>
      <c r="EL71" s="806"/>
      <c r="EM71" s="806"/>
      <c r="EN71" s="806"/>
      <c r="EO71" s="806"/>
      <c r="EP71" s="806"/>
      <c r="EQ71" s="806"/>
      <c r="ER71" s="806"/>
      <c r="ES71" s="806"/>
      <c r="ET71" s="806"/>
      <c r="EU71" s="806"/>
      <c r="EV71" s="806"/>
      <c r="EW71" s="806"/>
      <c r="EX71" s="806"/>
      <c r="EY71" s="806"/>
      <c r="EZ71" s="806"/>
      <c r="FA71" s="806"/>
      <c r="FB71" s="806"/>
      <c r="FC71" s="806"/>
      <c r="FD71" s="806"/>
      <c r="FE71" s="806"/>
      <c r="FF71" s="806"/>
      <c r="FG71" s="806"/>
      <c r="FH71" s="806"/>
      <c r="FI71" s="806"/>
      <c r="FJ71" s="806"/>
      <c r="FK71" s="806"/>
      <c r="FL71" s="806"/>
      <c r="FM71" s="806"/>
      <c r="FN71" s="806"/>
      <c r="FO71" s="806"/>
      <c r="FP71" s="806"/>
      <c r="FQ71" s="806"/>
      <c r="FR71" s="806"/>
      <c r="FS71" s="806"/>
      <c r="FT71" s="806"/>
      <c r="FU71" s="806"/>
      <c r="FV71" s="806"/>
      <c r="FW71" s="806"/>
      <c r="FX71" s="806"/>
      <c r="FY71" s="806"/>
      <c r="FZ71" s="806"/>
      <c r="GA71" s="806"/>
      <c r="GB71" s="806"/>
      <c r="GC71" s="806"/>
      <c r="GD71" s="806"/>
      <c r="GE71" s="806"/>
      <c r="GF71" s="806"/>
      <c r="GG71" s="806"/>
      <c r="GH71" s="806"/>
      <c r="GI71" s="806"/>
      <c r="GJ71" s="806"/>
      <c r="GK71" s="806"/>
      <c r="GL71" s="806"/>
      <c r="GM71" s="806"/>
      <c r="GN71" s="806"/>
      <c r="GO71" s="806"/>
      <c r="GP71" s="806"/>
      <c r="GQ71" s="806"/>
      <c r="GR71" s="806"/>
      <c r="GS71" s="806"/>
      <c r="GT71" s="806"/>
      <c r="GU71" s="806"/>
      <c r="GV71" s="806"/>
      <c r="GW71" s="806"/>
      <c r="GX71" s="806"/>
      <c r="GY71" s="806"/>
      <c r="GZ71" s="806"/>
      <c r="HA71" s="806"/>
      <c r="HB71" s="806"/>
      <c r="HC71" s="806"/>
      <c r="HD71" s="806"/>
      <c r="HE71" s="806"/>
      <c r="HF71" s="806"/>
      <c r="HG71" s="806"/>
      <c r="HH71" s="806"/>
      <c r="HI71" s="806"/>
      <c r="HJ71" s="806"/>
      <c r="HK71" s="806"/>
      <c r="HL71" s="806"/>
      <c r="HM71" s="806"/>
      <c r="HN71" s="806"/>
      <c r="HO71" s="806"/>
      <c r="HP71" s="806"/>
      <c r="HQ71" s="806"/>
      <c r="HR71" s="806"/>
      <c r="HS71" s="806"/>
      <c r="HT71" s="806"/>
      <c r="HU71" s="806"/>
      <c r="HV71" s="806"/>
      <c r="HW71" s="806"/>
      <c r="HX71" s="806"/>
      <c r="HY71" s="806"/>
      <c r="HZ71" s="806"/>
      <c r="IA71" s="806"/>
      <c r="IB71" s="806"/>
      <c r="IC71" s="806"/>
      <c r="ID71" s="806"/>
      <c r="IE71" s="806"/>
      <c r="IF71" s="806"/>
      <c r="IG71" s="806"/>
      <c r="IH71" s="806"/>
      <c r="II71" s="806"/>
      <c r="IJ71" s="806"/>
      <c r="IK71" s="806"/>
      <c r="IL71" s="806"/>
      <c r="IM71" s="806"/>
      <c r="IN71" s="806"/>
      <c r="IO71" s="806"/>
      <c r="IP71" s="806"/>
      <c r="IQ71" s="806"/>
      <c r="IR71" s="806"/>
      <c r="IS71" s="806"/>
      <c r="IT71" s="806"/>
      <c r="IU71" s="806"/>
      <c r="IV71" s="806"/>
    </row>
    <row r="72" spans="1:256" ht="20.100000000000001" customHeight="1">
      <c r="A72" s="806"/>
      <c r="B72" s="806"/>
      <c r="C72" s="806"/>
      <c r="D72" s="825"/>
      <c r="E72" s="806"/>
      <c r="F72" s="806"/>
      <c r="G72" s="806"/>
      <c r="H72" s="830"/>
      <c r="I72" s="806"/>
      <c r="J72" s="828"/>
      <c r="K72" s="806"/>
      <c r="L72" s="825"/>
      <c r="M72" s="806"/>
      <c r="N72" s="806"/>
      <c r="O72" s="819"/>
      <c r="P72" s="819"/>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6"/>
      <c r="AY72" s="806"/>
      <c r="AZ72" s="806"/>
      <c r="BA72" s="806"/>
      <c r="BB72" s="806"/>
      <c r="BC72" s="806"/>
      <c r="BD72" s="806"/>
      <c r="BE72" s="806"/>
      <c r="BF72" s="806"/>
      <c r="BG72" s="806"/>
      <c r="BH72" s="806"/>
      <c r="BI72" s="806"/>
      <c r="BJ72" s="806"/>
      <c r="BK72" s="806"/>
      <c r="BL72" s="806"/>
      <c r="BM72" s="806"/>
      <c r="BN72" s="806"/>
      <c r="BO72" s="806"/>
      <c r="BP72" s="806"/>
      <c r="BQ72" s="806"/>
      <c r="BR72" s="806"/>
      <c r="BS72" s="806"/>
      <c r="BT72" s="806"/>
      <c r="BU72" s="806"/>
      <c r="BV72" s="806"/>
      <c r="BW72" s="806"/>
      <c r="BX72" s="806"/>
      <c r="BY72" s="806"/>
      <c r="BZ72" s="806"/>
      <c r="CA72" s="806"/>
      <c r="CB72" s="806"/>
      <c r="CC72" s="806"/>
      <c r="CD72" s="806"/>
      <c r="CE72" s="806"/>
      <c r="CF72" s="806"/>
      <c r="CG72" s="806"/>
      <c r="CH72" s="806"/>
      <c r="CI72" s="806"/>
      <c r="CJ72" s="806"/>
      <c r="CK72" s="806"/>
      <c r="CL72" s="806"/>
      <c r="CM72" s="806"/>
      <c r="CN72" s="806"/>
      <c r="CO72" s="806"/>
      <c r="CP72" s="806"/>
      <c r="CQ72" s="806"/>
      <c r="CR72" s="806"/>
      <c r="CS72" s="806"/>
      <c r="CT72" s="806"/>
      <c r="CU72" s="806"/>
      <c r="CV72" s="806"/>
      <c r="CW72" s="806"/>
      <c r="CX72" s="806"/>
      <c r="CY72" s="806"/>
      <c r="CZ72" s="806"/>
      <c r="DA72" s="806"/>
      <c r="DB72" s="806"/>
      <c r="DC72" s="806"/>
      <c r="DD72" s="806"/>
      <c r="DE72" s="806"/>
      <c r="DF72" s="806"/>
      <c r="DG72" s="806"/>
      <c r="DH72" s="806"/>
      <c r="DI72" s="806"/>
      <c r="DJ72" s="806"/>
      <c r="DK72" s="806"/>
      <c r="DL72" s="806"/>
      <c r="DM72" s="806"/>
      <c r="DN72" s="806"/>
      <c r="DO72" s="806"/>
      <c r="DP72" s="806"/>
      <c r="DQ72" s="806"/>
      <c r="DR72" s="806"/>
      <c r="DS72" s="806"/>
      <c r="DT72" s="806"/>
      <c r="DU72" s="806"/>
      <c r="DV72" s="806"/>
      <c r="DW72" s="806"/>
      <c r="DX72" s="806"/>
      <c r="DY72" s="806"/>
      <c r="DZ72" s="806"/>
      <c r="EA72" s="806"/>
      <c r="EB72" s="806"/>
      <c r="EC72" s="806"/>
      <c r="ED72" s="806"/>
      <c r="EE72" s="806"/>
      <c r="EF72" s="806"/>
      <c r="EG72" s="806"/>
      <c r="EH72" s="806"/>
      <c r="EI72" s="806"/>
      <c r="EJ72" s="806"/>
      <c r="EK72" s="806"/>
      <c r="EL72" s="806"/>
      <c r="EM72" s="806"/>
      <c r="EN72" s="806"/>
      <c r="EO72" s="806"/>
      <c r="EP72" s="806"/>
      <c r="EQ72" s="806"/>
      <c r="ER72" s="806"/>
      <c r="ES72" s="806"/>
      <c r="ET72" s="806"/>
      <c r="EU72" s="806"/>
      <c r="EV72" s="806"/>
      <c r="EW72" s="806"/>
      <c r="EX72" s="806"/>
      <c r="EY72" s="806"/>
      <c r="EZ72" s="806"/>
      <c r="FA72" s="806"/>
      <c r="FB72" s="806"/>
      <c r="FC72" s="806"/>
      <c r="FD72" s="806"/>
      <c r="FE72" s="806"/>
      <c r="FF72" s="806"/>
      <c r="FG72" s="806"/>
      <c r="FH72" s="806"/>
      <c r="FI72" s="806"/>
      <c r="FJ72" s="806"/>
      <c r="FK72" s="806"/>
      <c r="FL72" s="806"/>
      <c r="FM72" s="806"/>
      <c r="FN72" s="806"/>
      <c r="FO72" s="806"/>
      <c r="FP72" s="806"/>
      <c r="FQ72" s="806"/>
      <c r="FR72" s="806"/>
      <c r="FS72" s="806"/>
      <c r="FT72" s="806"/>
      <c r="FU72" s="806"/>
      <c r="FV72" s="806"/>
      <c r="FW72" s="806"/>
      <c r="FX72" s="806"/>
      <c r="FY72" s="806"/>
      <c r="FZ72" s="806"/>
      <c r="GA72" s="806"/>
      <c r="GB72" s="806"/>
      <c r="GC72" s="806"/>
      <c r="GD72" s="806"/>
      <c r="GE72" s="806"/>
      <c r="GF72" s="806"/>
      <c r="GG72" s="806"/>
      <c r="GH72" s="806"/>
      <c r="GI72" s="806"/>
      <c r="GJ72" s="806"/>
      <c r="GK72" s="806"/>
      <c r="GL72" s="806"/>
      <c r="GM72" s="806"/>
      <c r="GN72" s="806"/>
      <c r="GO72" s="806"/>
      <c r="GP72" s="806"/>
      <c r="GQ72" s="806"/>
      <c r="GR72" s="806"/>
      <c r="GS72" s="806"/>
      <c r="GT72" s="806"/>
      <c r="GU72" s="806"/>
      <c r="GV72" s="806"/>
      <c r="GW72" s="806"/>
      <c r="GX72" s="806"/>
      <c r="GY72" s="806"/>
      <c r="GZ72" s="806"/>
      <c r="HA72" s="806"/>
      <c r="HB72" s="806"/>
      <c r="HC72" s="806"/>
      <c r="HD72" s="806"/>
      <c r="HE72" s="806"/>
      <c r="HF72" s="806"/>
      <c r="HG72" s="806"/>
      <c r="HH72" s="806"/>
      <c r="HI72" s="806"/>
      <c r="HJ72" s="806"/>
      <c r="HK72" s="806"/>
      <c r="HL72" s="806"/>
      <c r="HM72" s="806"/>
      <c r="HN72" s="806"/>
      <c r="HO72" s="806"/>
      <c r="HP72" s="806"/>
      <c r="HQ72" s="806"/>
      <c r="HR72" s="806"/>
      <c r="HS72" s="806"/>
      <c r="HT72" s="806"/>
      <c r="HU72" s="806"/>
      <c r="HV72" s="806"/>
      <c r="HW72" s="806"/>
      <c r="HX72" s="806"/>
      <c r="HY72" s="806"/>
      <c r="HZ72" s="806"/>
      <c r="IA72" s="806"/>
      <c r="IB72" s="806"/>
      <c r="IC72" s="806"/>
      <c r="ID72" s="806"/>
      <c r="IE72" s="806"/>
      <c r="IF72" s="806"/>
      <c r="IG72" s="806"/>
      <c r="IH72" s="806"/>
      <c r="II72" s="806"/>
      <c r="IJ72" s="806"/>
      <c r="IK72" s="806"/>
      <c r="IL72" s="806"/>
      <c r="IM72" s="806"/>
      <c r="IN72" s="806"/>
      <c r="IO72" s="806"/>
      <c r="IP72" s="806"/>
      <c r="IQ72" s="806"/>
      <c r="IR72" s="806"/>
      <c r="IS72" s="806"/>
      <c r="IT72" s="806"/>
      <c r="IU72" s="806"/>
      <c r="IV72" s="806"/>
    </row>
    <row r="73" spans="1:256" ht="18">
      <c r="A73" s="1238"/>
      <c r="B73" s="806"/>
      <c r="C73" s="806"/>
      <c r="D73" s="806"/>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806"/>
      <c r="AY73" s="806"/>
      <c r="AZ73" s="806"/>
      <c r="BA73" s="806"/>
      <c r="BB73" s="806"/>
      <c r="BC73" s="806"/>
      <c r="BD73" s="806"/>
      <c r="BE73" s="806"/>
      <c r="BF73" s="806"/>
      <c r="BG73" s="806"/>
      <c r="BH73" s="806"/>
      <c r="BI73" s="806"/>
      <c r="BJ73" s="806"/>
      <c r="BK73" s="806"/>
      <c r="BL73" s="806"/>
      <c r="BM73" s="806"/>
      <c r="BN73" s="806"/>
      <c r="BO73" s="806"/>
      <c r="BP73" s="806"/>
      <c r="BQ73" s="806"/>
      <c r="BR73" s="806"/>
      <c r="BS73" s="806"/>
      <c r="BT73" s="806"/>
      <c r="BU73" s="806"/>
      <c r="BV73" s="806"/>
      <c r="BW73" s="806"/>
      <c r="BX73" s="806"/>
      <c r="BY73" s="806"/>
      <c r="BZ73" s="806"/>
      <c r="CA73" s="806"/>
      <c r="CB73" s="806"/>
      <c r="CC73" s="806"/>
      <c r="CD73" s="806"/>
      <c r="CE73" s="806"/>
      <c r="CF73" s="806"/>
      <c r="CG73" s="806"/>
      <c r="CH73" s="806"/>
      <c r="CI73" s="806"/>
      <c r="CJ73" s="806"/>
      <c r="CK73" s="806"/>
      <c r="CL73" s="806"/>
      <c r="CM73" s="806"/>
      <c r="CN73" s="806"/>
      <c r="CO73" s="806"/>
      <c r="CP73" s="806"/>
      <c r="CQ73" s="806"/>
      <c r="CR73" s="806"/>
      <c r="CS73" s="806"/>
      <c r="CT73" s="806"/>
      <c r="CU73" s="806"/>
      <c r="CV73" s="806"/>
      <c r="CW73" s="806"/>
      <c r="CX73" s="806"/>
      <c r="CY73" s="806"/>
      <c r="CZ73" s="806"/>
      <c r="DA73" s="806"/>
      <c r="DB73" s="806"/>
      <c r="DC73" s="806"/>
      <c r="DD73" s="806"/>
      <c r="DE73" s="806"/>
      <c r="DF73" s="806"/>
      <c r="DG73" s="806"/>
      <c r="DH73" s="806"/>
      <c r="DI73" s="806"/>
      <c r="DJ73" s="806"/>
      <c r="DK73" s="806"/>
      <c r="DL73" s="806"/>
      <c r="DM73" s="806"/>
      <c r="DN73" s="806"/>
      <c r="DO73" s="806"/>
      <c r="DP73" s="806"/>
      <c r="DQ73" s="806"/>
      <c r="DR73" s="806"/>
      <c r="DS73" s="806"/>
      <c r="DT73" s="806"/>
      <c r="DU73" s="806"/>
      <c r="DV73" s="806"/>
      <c r="DW73" s="806"/>
      <c r="DX73" s="806"/>
      <c r="DY73" s="806"/>
      <c r="DZ73" s="806"/>
      <c r="EA73" s="806"/>
      <c r="EB73" s="806"/>
      <c r="EC73" s="806"/>
      <c r="ED73" s="806"/>
      <c r="EE73" s="806"/>
      <c r="EF73" s="806"/>
      <c r="EG73" s="806"/>
      <c r="EH73" s="806"/>
      <c r="EI73" s="806"/>
      <c r="EJ73" s="806"/>
      <c r="EK73" s="806"/>
      <c r="EL73" s="806"/>
      <c r="EM73" s="806"/>
      <c r="EN73" s="806"/>
      <c r="EO73" s="806"/>
      <c r="EP73" s="806"/>
      <c r="EQ73" s="806"/>
      <c r="ER73" s="806"/>
      <c r="ES73" s="806"/>
      <c r="ET73" s="806"/>
      <c r="EU73" s="806"/>
      <c r="EV73" s="806"/>
      <c r="EW73" s="806"/>
      <c r="EX73" s="806"/>
      <c r="EY73" s="806"/>
      <c r="EZ73" s="806"/>
      <c r="FA73" s="806"/>
      <c r="FB73" s="806"/>
      <c r="FC73" s="806"/>
      <c r="FD73" s="806"/>
      <c r="FE73" s="806"/>
      <c r="FF73" s="806"/>
      <c r="FG73" s="806"/>
      <c r="FH73" s="806"/>
      <c r="FI73" s="806"/>
      <c r="FJ73" s="806"/>
      <c r="FK73" s="806"/>
      <c r="FL73" s="806"/>
      <c r="FM73" s="806"/>
      <c r="FN73" s="806"/>
      <c r="FO73" s="806"/>
      <c r="FP73" s="806"/>
      <c r="FQ73" s="806"/>
      <c r="FR73" s="806"/>
      <c r="FS73" s="806"/>
      <c r="FT73" s="806"/>
      <c r="FU73" s="806"/>
      <c r="FV73" s="806"/>
      <c r="FW73" s="806"/>
      <c r="FX73" s="806"/>
      <c r="FY73" s="806"/>
      <c r="FZ73" s="806"/>
      <c r="GA73" s="806"/>
      <c r="GB73" s="806"/>
      <c r="GC73" s="806"/>
      <c r="GD73" s="806"/>
      <c r="GE73" s="806"/>
      <c r="GF73" s="806"/>
      <c r="GG73" s="806"/>
      <c r="GH73" s="806"/>
      <c r="GI73" s="806"/>
      <c r="GJ73" s="806"/>
      <c r="GK73" s="806"/>
      <c r="GL73" s="806"/>
      <c r="GM73" s="806"/>
      <c r="GN73" s="806"/>
      <c r="GO73" s="806"/>
      <c r="GP73" s="806"/>
      <c r="GQ73" s="806"/>
      <c r="GR73" s="806"/>
      <c r="GS73" s="806"/>
      <c r="GT73" s="806"/>
      <c r="GU73" s="806"/>
      <c r="GV73" s="806"/>
      <c r="GW73" s="806"/>
      <c r="GX73" s="806"/>
      <c r="GY73" s="806"/>
      <c r="GZ73" s="806"/>
      <c r="HA73" s="806"/>
      <c r="HB73" s="806"/>
      <c r="HC73" s="806"/>
      <c r="HD73" s="806"/>
      <c r="HE73" s="806"/>
      <c r="HF73" s="806"/>
      <c r="HG73" s="806"/>
      <c r="HH73" s="806"/>
      <c r="HI73" s="806"/>
      <c r="HJ73" s="806"/>
      <c r="HK73" s="806"/>
      <c r="HL73" s="806"/>
      <c r="HM73" s="806"/>
      <c r="HN73" s="806"/>
      <c r="HO73" s="806"/>
      <c r="HP73" s="806"/>
      <c r="HQ73" s="806"/>
      <c r="HR73" s="806"/>
      <c r="HS73" s="806"/>
      <c r="HT73" s="806"/>
      <c r="HU73" s="806"/>
      <c r="HV73" s="806"/>
      <c r="HW73" s="806"/>
      <c r="HX73" s="806"/>
      <c r="HY73" s="806"/>
      <c r="HZ73" s="806"/>
      <c r="IA73" s="806"/>
      <c r="IB73" s="806"/>
      <c r="IC73" s="806"/>
      <c r="ID73" s="806"/>
      <c r="IE73" s="806"/>
      <c r="IF73" s="806"/>
      <c r="IG73" s="806"/>
      <c r="IH73" s="806"/>
      <c r="II73" s="806"/>
      <c r="IJ73" s="806"/>
      <c r="IK73" s="806"/>
      <c r="IL73" s="806"/>
      <c r="IM73" s="806"/>
      <c r="IN73" s="806"/>
      <c r="IO73" s="806"/>
      <c r="IP73" s="806"/>
      <c r="IQ73" s="806"/>
      <c r="IR73" s="806"/>
      <c r="IS73" s="806"/>
      <c r="IT73" s="806"/>
      <c r="IU73" s="806"/>
      <c r="IV73" s="806"/>
    </row>
    <row r="74" spans="1:256" ht="18">
      <c r="A74" s="831"/>
      <c r="B74" s="806"/>
      <c r="C74" s="806"/>
      <c r="D74" s="806"/>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6"/>
      <c r="BA74" s="806"/>
      <c r="BB74" s="806"/>
      <c r="BC74" s="806"/>
      <c r="BD74" s="806"/>
      <c r="BE74" s="806"/>
      <c r="BF74" s="806"/>
      <c r="BG74" s="806"/>
      <c r="BH74" s="806"/>
      <c r="BI74" s="806"/>
      <c r="BJ74" s="806"/>
      <c r="BK74" s="806"/>
      <c r="BL74" s="806"/>
      <c r="BM74" s="806"/>
      <c r="BN74" s="806"/>
      <c r="BO74" s="806"/>
      <c r="BP74" s="806"/>
      <c r="BQ74" s="806"/>
      <c r="BR74" s="806"/>
      <c r="BS74" s="806"/>
      <c r="BT74" s="806"/>
      <c r="BU74" s="806"/>
      <c r="BV74" s="806"/>
      <c r="BW74" s="806"/>
      <c r="BX74" s="806"/>
      <c r="BY74" s="806"/>
      <c r="BZ74" s="806"/>
      <c r="CA74" s="806"/>
      <c r="CB74" s="806"/>
      <c r="CC74" s="806"/>
      <c r="CD74" s="806"/>
      <c r="CE74" s="806"/>
      <c r="CF74" s="806"/>
      <c r="CG74" s="806"/>
      <c r="CH74" s="806"/>
      <c r="CI74" s="806"/>
      <c r="CJ74" s="806"/>
      <c r="CK74" s="806"/>
      <c r="CL74" s="806"/>
      <c r="CM74" s="806"/>
      <c r="CN74" s="806"/>
      <c r="CO74" s="806"/>
      <c r="CP74" s="806"/>
      <c r="CQ74" s="806"/>
      <c r="CR74" s="806"/>
      <c r="CS74" s="806"/>
      <c r="CT74" s="806"/>
      <c r="CU74" s="806"/>
      <c r="CV74" s="806"/>
      <c r="CW74" s="806"/>
      <c r="CX74" s="806"/>
      <c r="CY74" s="806"/>
      <c r="CZ74" s="806"/>
      <c r="DA74" s="806"/>
      <c r="DB74" s="806"/>
      <c r="DC74" s="806"/>
      <c r="DD74" s="806"/>
      <c r="DE74" s="806"/>
      <c r="DF74" s="806"/>
      <c r="DG74" s="806"/>
      <c r="DH74" s="806"/>
      <c r="DI74" s="806"/>
      <c r="DJ74" s="806"/>
      <c r="DK74" s="806"/>
      <c r="DL74" s="806"/>
      <c r="DM74" s="806"/>
      <c r="DN74" s="806"/>
      <c r="DO74" s="806"/>
      <c r="DP74" s="806"/>
      <c r="DQ74" s="806"/>
      <c r="DR74" s="806"/>
      <c r="DS74" s="806"/>
      <c r="DT74" s="806"/>
      <c r="DU74" s="806"/>
      <c r="DV74" s="806"/>
      <c r="DW74" s="806"/>
      <c r="DX74" s="806"/>
      <c r="DY74" s="806"/>
      <c r="DZ74" s="806"/>
      <c r="EA74" s="806"/>
      <c r="EB74" s="806"/>
      <c r="EC74" s="806"/>
      <c r="ED74" s="806"/>
      <c r="EE74" s="806"/>
      <c r="EF74" s="806"/>
      <c r="EG74" s="806"/>
      <c r="EH74" s="806"/>
      <c r="EI74" s="806"/>
      <c r="EJ74" s="806"/>
      <c r="EK74" s="806"/>
      <c r="EL74" s="806"/>
      <c r="EM74" s="806"/>
      <c r="EN74" s="806"/>
      <c r="EO74" s="806"/>
      <c r="EP74" s="806"/>
      <c r="EQ74" s="806"/>
      <c r="ER74" s="806"/>
      <c r="ES74" s="806"/>
      <c r="ET74" s="806"/>
      <c r="EU74" s="806"/>
      <c r="EV74" s="806"/>
      <c r="EW74" s="806"/>
      <c r="EX74" s="806"/>
      <c r="EY74" s="806"/>
      <c r="EZ74" s="806"/>
      <c r="FA74" s="806"/>
      <c r="FB74" s="806"/>
      <c r="FC74" s="806"/>
      <c r="FD74" s="806"/>
      <c r="FE74" s="806"/>
      <c r="FF74" s="806"/>
      <c r="FG74" s="806"/>
      <c r="FH74" s="806"/>
      <c r="FI74" s="806"/>
      <c r="FJ74" s="806"/>
      <c r="FK74" s="806"/>
      <c r="FL74" s="806"/>
      <c r="FM74" s="806"/>
      <c r="FN74" s="806"/>
      <c r="FO74" s="806"/>
      <c r="FP74" s="806"/>
      <c r="FQ74" s="806"/>
      <c r="FR74" s="806"/>
      <c r="FS74" s="806"/>
      <c r="FT74" s="806"/>
      <c r="FU74" s="806"/>
      <c r="FV74" s="806"/>
      <c r="FW74" s="806"/>
      <c r="FX74" s="806"/>
      <c r="FY74" s="806"/>
      <c r="FZ74" s="806"/>
      <c r="GA74" s="806"/>
      <c r="GB74" s="806"/>
      <c r="GC74" s="806"/>
      <c r="GD74" s="806"/>
      <c r="GE74" s="806"/>
      <c r="GF74" s="806"/>
      <c r="GG74" s="806"/>
      <c r="GH74" s="806"/>
      <c r="GI74" s="806"/>
      <c r="GJ74" s="806"/>
      <c r="GK74" s="806"/>
      <c r="GL74" s="806"/>
      <c r="GM74" s="806"/>
      <c r="GN74" s="806"/>
      <c r="GO74" s="806"/>
      <c r="GP74" s="806"/>
      <c r="GQ74" s="806"/>
      <c r="GR74" s="806"/>
      <c r="GS74" s="806"/>
      <c r="GT74" s="806"/>
      <c r="GU74" s="806"/>
      <c r="GV74" s="806"/>
      <c r="GW74" s="806"/>
      <c r="GX74" s="806"/>
      <c r="GY74" s="806"/>
      <c r="GZ74" s="806"/>
      <c r="HA74" s="806"/>
      <c r="HB74" s="806"/>
      <c r="HC74" s="806"/>
      <c r="HD74" s="806"/>
      <c r="HE74" s="806"/>
      <c r="HF74" s="806"/>
      <c r="HG74" s="806"/>
      <c r="HH74" s="806"/>
      <c r="HI74" s="806"/>
      <c r="HJ74" s="806"/>
      <c r="HK74" s="806"/>
      <c r="HL74" s="806"/>
      <c r="HM74" s="806"/>
      <c r="HN74" s="806"/>
      <c r="HO74" s="806"/>
      <c r="HP74" s="806"/>
      <c r="HQ74" s="806"/>
      <c r="HR74" s="806"/>
      <c r="HS74" s="806"/>
      <c r="HT74" s="806"/>
      <c r="HU74" s="806"/>
      <c r="HV74" s="806"/>
      <c r="HW74" s="806"/>
      <c r="HX74" s="806"/>
      <c r="HY74" s="806"/>
      <c r="HZ74" s="806"/>
      <c r="IA74" s="806"/>
      <c r="IB74" s="806"/>
      <c r="IC74" s="806"/>
      <c r="ID74" s="806"/>
      <c r="IE74" s="806"/>
      <c r="IF74" s="806"/>
      <c r="IG74" s="806"/>
      <c r="IH74" s="806"/>
      <c r="II74" s="806"/>
      <c r="IJ74" s="806"/>
      <c r="IK74" s="806"/>
      <c r="IL74" s="806"/>
      <c r="IM74" s="806"/>
      <c r="IN74" s="806"/>
      <c r="IO74" s="806"/>
      <c r="IP74" s="806"/>
      <c r="IQ74" s="806"/>
      <c r="IR74" s="806"/>
      <c r="IS74" s="806"/>
      <c r="IT74" s="806"/>
      <c r="IU74" s="806"/>
      <c r="IV74" s="806"/>
    </row>
    <row r="75" spans="1:256" ht="18">
      <c r="A75" s="806"/>
      <c r="B75" s="806"/>
      <c r="C75" s="806"/>
      <c r="D75" s="806"/>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806"/>
      <c r="AY75" s="806"/>
      <c r="AZ75" s="806"/>
      <c r="BA75" s="806"/>
      <c r="BB75" s="806"/>
      <c r="BC75" s="806"/>
      <c r="BD75" s="806"/>
      <c r="BE75" s="806"/>
      <c r="BF75" s="806"/>
      <c r="BG75" s="806"/>
      <c r="BH75" s="806"/>
      <c r="BI75" s="806"/>
      <c r="BJ75" s="806"/>
      <c r="BK75" s="806"/>
      <c r="BL75" s="806"/>
      <c r="BM75" s="806"/>
      <c r="BN75" s="806"/>
      <c r="BO75" s="806"/>
      <c r="BP75" s="806"/>
      <c r="BQ75" s="806"/>
      <c r="BR75" s="806"/>
      <c r="BS75" s="806"/>
      <c r="BT75" s="806"/>
      <c r="BU75" s="806"/>
      <c r="BV75" s="806"/>
      <c r="BW75" s="806"/>
      <c r="BX75" s="806"/>
      <c r="BY75" s="806"/>
      <c r="BZ75" s="806"/>
      <c r="CA75" s="806"/>
      <c r="CB75" s="806"/>
      <c r="CC75" s="806"/>
      <c r="CD75" s="806"/>
      <c r="CE75" s="806"/>
      <c r="CF75" s="806"/>
      <c r="CG75" s="806"/>
      <c r="CH75" s="806"/>
      <c r="CI75" s="806"/>
      <c r="CJ75" s="806"/>
      <c r="CK75" s="806"/>
      <c r="CL75" s="806"/>
      <c r="CM75" s="806"/>
      <c r="CN75" s="806"/>
      <c r="CO75" s="806"/>
      <c r="CP75" s="806"/>
      <c r="CQ75" s="806"/>
      <c r="CR75" s="806"/>
      <c r="CS75" s="806"/>
      <c r="CT75" s="806"/>
      <c r="CU75" s="806"/>
      <c r="CV75" s="806"/>
      <c r="CW75" s="806"/>
      <c r="CX75" s="806"/>
      <c r="CY75" s="806"/>
      <c r="CZ75" s="806"/>
      <c r="DA75" s="806"/>
      <c r="DB75" s="806"/>
      <c r="DC75" s="806"/>
      <c r="DD75" s="806"/>
      <c r="DE75" s="806"/>
      <c r="DF75" s="806"/>
      <c r="DG75" s="806"/>
      <c r="DH75" s="806"/>
      <c r="DI75" s="806"/>
      <c r="DJ75" s="806"/>
      <c r="DK75" s="806"/>
      <c r="DL75" s="806"/>
      <c r="DM75" s="806"/>
      <c r="DN75" s="806"/>
      <c r="DO75" s="806"/>
      <c r="DP75" s="806"/>
      <c r="DQ75" s="806"/>
      <c r="DR75" s="806"/>
      <c r="DS75" s="806"/>
      <c r="DT75" s="806"/>
      <c r="DU75" s="806"/>
      <c r="DV75" s="806"/>
      <c r="DW75" s="806"/>
      <c r="DX75" s="806"/>
      <c r="DY75" s="806"/>
      <c r="DZ75" s="806"/>
      <c r="EA75" s="806"/>
      <c r="EB75" s="806"/>
      <c r="EC75" s="806"/>
      <c r="ED75" s="806"/>
      <c r="EE75" s="806"/>
      <c r="EF75" s="806"/>
      <c r="EG75" s="806"/>
      <c r="EH75" s="806"/>
      <c r="EI75" s="806"/>
      <c r="EJ75" s="806"/>
      <c r="EK75" s="806"/>
      <c r="EL75" s="806"/>
      <c r="EM75" s="806"/>
      <c r="EN75" s="806"/>
      <c r="EO75" s="806"/>
      <c r="EP75" s="806"/>
      <c r="EQ75" s="806"/>
      <c r="ER75" s="806"/>
      <c r="ES75" s="806"/>
      <c r="ET75" s="806"/>
      <c r="EU75" s="806"/>
      <c r="EV75" s="806"/>
      <c r="EW75" s="806"/>
      <c r="EX75" s="806"/>
      <c r="EY75" s="806"/>
      <c r="EZ75" s="806"/>
      <c r="FA75" s="806"/>
      <c r="FB75" s="806"/>
      <c r="FC75" s="806"/>
      <c r="FD75" s="806"/>
      <c r="FE75" s="806"/>
      <c r="FF75" s="806"/>
      <c r="FG75" s="806"/>
      <c r="FH75" s="806"/>
      <c r="FI75" s="806"/>
      <c r="FJ75" s="806"/>
      <c r="FK75" s="806"/>
      <c r="FL75" s="806"/>
      <c r="FM75" s="806"/>
      <c r="FN75" s="806"/>
      <c r="FO75" s="806"/>
      <c r="FP75" s="806"/>
      <c r="FQ75" s="806"/>
      <c r="FR75" s="806"/>
      <c r="FS75" s="806"/>
      <c r="FT75" s="806"/>
      <c r="FU75" s="806"/>
      <c r="FV75" s="806"/>
      <c r="FW75" s="806"/>
      <c r="FX75" s="806"/>
      <c r="FY75" s="806"/>
      <c r="FZ75" s="806"/>
      <c r="GA75" s="806"/>
      <c r="GB75" s="806"/>
      <c r="GC75" s="806"/>
      <c r="GD75" s="806"/>
      <c r="GE75" s="806"/>
      <c r="GF75" s="806"/>
      <c r="GG75" s="806"/>
      <c r="GH75" s="806"/>
      <c r="GI75" s="806"/>
      <c r="GJ75" s="806"/>
      <c r="GK75" s="806"/>
      <c r="GL75" s="806"/>
      <c r="GM75" s="806"/>
      <c r="GN75" s="806"/>
      <c r="GO75" s="806"/>
      <c r="GP75" s="806"/>
      <c r="GQ75" s="806"/>
      <c r="GR75" s="806"/>
      <c r="GS75" s="806"/>
      <c r="GT75" s="806"/>
      <c r="GU75" s="806"/>
      <c r="GV75" s="806"/>
      <c r="GW75" s="806"/>
      <c r="GX75" s="806"/>
      <c r="GY75" s="806"/>
      <c r="GZ75" s="806"/>
      <c r="HA75" s="806"/>
      <c r="HB75" s="806"/>
      <c r="HC75" s="806"/>
      <c r="HD75" s="806"/>
      <c r="HE75" s="806"/>
      <c r="HF75" s="806"/>
      <c r="HG75" s="806"/>
      <c r="HH75" s="806"/>
      <c r="HI75" s="806"/>
      <c r="HJ75" s="806"/>
      <c r="HK75" s="806"/>
      <c r="HL75" s="806"/>
      <c r="HM75" s="806"/>
      <c r="HN75" s="806"/>
      <c r="HO75" s="806"/>
      <c r="HP75" s="806"/>
      <c r="HQ75" s="806"/>
      <c r="HR75" s="806"/>
      <c r="HS75" s="806"/>
      <c r="HT75" s="806"/>
      <c r="HU75" s="806"/>
      <c r="HV75" s="806"/>
      <c r="HW75" s="806"/>
      <c r="HX75" s="806"/>
      <c r="HY75" s="806"/>
      <c r="HZ75" s="806"/>
      <c r="IA75" s="806"/>
      <c r="IB75" s="806"/>
      <c r="IC75" s="806"/>
      <c r="ID75" s="806"/>
      <c r="IE75" s="806"/>
      <c r="IF75" s="806"/>
      <c r="IG75" s="806"/>
      <c r="IH75" s="806"/>
      <c r="II75" s="806"/>
      <c r="IJ75" s="806"/>
      <c r="IK75" s="806"/>
      <c r="IL75" s="806"/>
      <c r="IM75" s="806"/>
      <c r="IN75" s="806"/>
      <c r="IO75" s="806"/>
      <c r="IP75" s="806"/>
      <c r="IQ75" s="806"/>
      <c r="IR75" s="806"/>
      <c r="IS75" s="806"/>
      <c r="IT75" s="806"/>
      <c r="IU75" s="806"/>
      <c r="IV75" s="806"/>
    </row>
    <row r="76" spans="1:256" ht="18">
      <c r="A76" s="806"/>
      <c r="B76" s="806"/>
      <c r="C76" s="806"/>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806"/>
      <c r="AY76" s="806"/>
      <c r="AZ76" s="806"/>
      <c r="BA76" s="806"/>
      <c r="BB76" s="806"/>
      <c r="BC76" s="806"/>
      <c r="BD76" s="806"/>
      <c r="BE76" s="806"/>
      <c r="BF76" s="806"/>
      <c r="BG76" s="806"/>
      <c r="BH76" s="806"/>
      <c r="BI76" s="806"/>
      <c r="BJ76" s="806"/>
      <c r="BK76" s="806"/>
      <c r="BL76" s="806"/>
      <c r="BM76" s="806"/>
      <c r="BN76" s="806"/>
      <c r="BO76" s="806"/>
      <c r="BP76" s="806"/>
      <c r="BQ76" s="806"/>
      <c r="BR76" s="806"/>
      <c r="BS76" s="806"/>
      <c r="BT76" s="806"/>
      <c r="BU76" s="806"/>
      <c r="BV76" s="806"/>
      <c r="BW76" s="806"/>
      <c r="BX76" s="806"/>
      <c r="BY76" s="806"/>
      <c r="BZ76" s="806"/>
      <c r="CA76" s="806"/>
      <c r="CB76" s="806"/>
      <c r="CC76" s="806"/>
      <c r="CD76" s="806"/>
      <c r="CE76" s="806"/>
      <c r="CF76" s="806"/>
      <c r="CG76" s="806"/>
      <c r="CH76" s="806"/>
      <c r="CI76" s="806"/>
      <c r="CJ76" s="806"/>
      <c r="CK76" s="806"/>
      <c r="CL76" s="806"/>
      <c r="CM76" s="806"/>
      <c r="CN76" s="806"/>
      <c r="CO76" s="806"/>
      <c r="CP76" s="806"/>
      <c r="CQ76" s="806"/>
      <c r="CR76" s="806"/>
      <c r="CS76" s="806"/>
      <c r="CT76" s="806"/>
      <c r="CU76" s="806"/>
      <c r="CV76" s="806"/>
      <c r="CW76" s="806"/>
      <c r="CX76" s="806"/>
      <c r="CY76" s="806"/>
      <c r="CZ76" s="806"/>
      <c r="DA76" s="806"/>
      <c r="DB76" s="806"/>
      <c r="DC76" s="806"/>
      <c r="DD76" s="806"/>
      <c r="DE76" s="806"/>
      <c r="DF76" s="806"/>
      <c r="DG76" s="806"/>
      <c r="DH76" s="806"/>
      <c r="DI76" s="806"/>
      <c r="DJ76" s="806"/>
      <c r="DK76" s="806"/>
      <c r="DL76" s="806"/>
      <c r="DM76" s="806"/>
      <c r="DN76" s="806"/>
      <c r="DO76" s="806"/>
      <c r="DP76" s="806"/>
      <c r="DQ76" s="806"/>
      <c r="DR76" s="806"/>
      <c r="DS76" s="806"/>
      <c r="DT76" s="806"/>
      <c r="DU76" s="806"/>
      <c r="DV76" s="806"/>
      <c r="DW76" s="806"/>
      <c r="DX76" s="806"/>
      <c r="DY76" s="806"/>
      <c r="DZ76" s="806"/>
      <c r="EA76" s="806"/>
      <c r="EB76" s="806"/>
      <c r="EC76" s="806"/>
      <c r="ED76" s="806"/>
      <c r="EE76" s="806"/>
      <c r="EF76" s="806"/>
      <c r="EG76" s="806"/>
      <c r="EH76" s="806"/>
      <c r="EI76" s="806"/>
      <c r="EJ76" s="806"/>
      <c r="EK76" s="806"/>
      <c r="EL76" s="806"/>
      <c r="EM76" s="806"/>
      <c r="EN76" s="806"/>
      <c r="EO76" s="806"/>
      <c r="EP76" s="806"/>
      <c r="EQ76" s="806"/>
      <c r="ER76" s="806"/>
      <c r="ES76" s="806"/>
      <c r="ET76" s="806"/>
      <c r="EU76" s="806"/>
      <c r="EV76" s="806"/>
      <c r="EW76" s="806"/>
      <c r="EX76" s="806"/>
      <c r="EY76" s="806"/>
      <c r="EZ76" s="806"/>
      <c r="FA76" s="806"/>
      <c r="FB76" s="806"/>
      <c r="FC76" s="806"/>
      <c r="FD76" s="806"/>
      <c r="FE76" s="806"/>
      <c r="FF76" s="806"/>
      <c r="FG76" s="806"/>
      <c r="FH76" s="806"/>
      <c r="FI76" s="806"/>
      <c r="FJ76" s="806"/>
      <c r="FK76" s="806"/>
      <c r="FL76" s="806"/>
      <c r="FM76" s="806"/>
      <c r="FN76" s="806"/>
      <c r="FO76" s="806"/>
      <c r="FP76" s="806"/>
      <c r="FQ76" s="806"/>
      <c r="FR76" s="806"/>
      <c r="FS76" s="806"/>
      <c r="FT76" s="806"/>
      <c r="FU76" s="806"/>
      <c r="FV76" s="806"/>
      <c r="FW76" s="806"/>
      <c r="FX76" s="806"/>
      <c r="FY76" s="806"/>
      <c r="FZ76" s="806"/>
      <c r="GA76" s="806"/>
      <c r="GB76" s="806"/>
      <c r="GC76" s="806"/>
      <c r="GD76" s="806"/>
      <c r="GE76" s="806"/>
      <c r="GF76" s="806"/>
      <c r="GG76" s="806"/>
      <c r="GH76" s="806"/>
      <c r="GI76" s="806"/>
      <c r="GJ76" s="806"/>
      <c r="GK76" s="806"/>
      <c r="GL76" s="806"/>
      <c r="GM76" s="806"/>
      <c r="GN76" s="806"/>
      <c r="GO76" s="806"/>
      <c r="GP76" s="806"/>
      <c r="GQ76" s="806"/>
      <c r="GR76" s="806"/>
      <c r="GS76" s="806"/>
      <c r="GT76" s="806"/>
      <c r="GU76" s="806"/>
      <c r="GV76" s="806"/>
      <c r="GW76" s="806"/>
      <c r="GX76" s="806"/>
      <c r="GY76" s="806"/>
      <c r="GZ76" s="806"/>
      <c r="HA76" s="806"/>
      <c r="HB76" s="806"/>
      <c r="HC76" s="806"/>
      <c r="HD76" s="806"/>
      <c r="HE76" s="806"/>
      <c r="HF76" s="806"/>
      <c r="HG76" s="806"/>
      <c r="HH76" s="806"/>
      <c r="HI76" s="806"/>
      <c r="HJ76" s="806"/>
      <c r="HK76" s="806"/>
      <c r="HL76" s="806"/>
      <c r="HM76" s="806"/>
      <c r="HN76" s="806"/>
      <c r="HO76" s="806"/>
      <c r="HP76" s="806"/>
      <c r="HQ76" s="806"/>
      <c r="HR76" s="806"/>
      <c r="HS76" s="806"/>
      <c r="HT76" s="806"/>
      <c r="HU76" s="806"/>
      <c r="HV76" s="806"/>
      <c r="HW76" s="806"/>
      <c r="HX76" s="806"/>
      <c r="HY76" s="806"/>
      <c r="HZ76" s="806"/>
      <c r="IA76" s="806"/>
      <c r="IB76" s="806"/>
      <c r="IC76" s="806"/>
      <c r="ID76" s="806"/>
      <c r="IE76" s="806"/>
      <c r="IF76" s="806"/>
      <c r="IG76" s="806"/>
      <c r="IH76" s="806"/>
      <c r="II76" s="806"/>
      <c r="IJ76" s="806"/>
      <c r="IK76" s="806"/>
      <c r="IL76" s="806"/>
      <c r="IM76" s="806"/>
      <c r="IN76" s="806"/>
      <c r="IO76" s="806"/>
      <c r="IP76" s="806"/>
      <c r="IQ76" s="806"/>
      <c r="IR76" s="806"/>
      <c r="IS76" s="806"/>
      <c r="IT76" s="806"/>
      <c r="IU76" s="806"/>
      <c r="IV76" s="806"/>
    </row>
    <row r="77" spans="1:256" ht="18">
      <c r="A77" s="806"/>
      <c r="B77" s="806"/>
      <c r="C77" s="806"/>
      <c r="D77" s="806"/>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806"/>
      <c r="AY77" s="806"/>
      <c r="AZ77" s="806"/>
      <c r="BA77" s="806"/>
      <c r="BB77" s="806"/>
      <c r="BC77" s="806"/>
      <c r="BD77" s="806"/>
      <c r="BE77" s="806"/>
      <c r="BF77" s="806"/>
      <c r="BG77" s="806"/>
      <c r="BH77" s="806"/>
      <c r="BI77" s="806"/>
      <c r="BJ77" s="806"/>
      <c r="BK77" s="806"/>
      <c r="BL77" s="806"/>
      <c r="BM77" s="806"/>
      <c r="BN77" s="806"/>
      <c r="BO77" s="806"/>
      <c r="BP77" s="806"/>
      <c r="BQ77" s="806"/>
      <c r="BR77" s="806"/>
      <c r="BS77" s="806"/>
      <c r="BT77" s="806"/>
      <c r="BU77" s="806"/>
      <c r="BV77" s="806"/>
      <c r="BW77" s="806"/>
      <c r="BX77" s="806"/>
      <c r="BY77" s="806"/>
      <c r="BZ77" s="806"/>
      <c r="CA77" s="806"/>
      <c r="CB77" s="806"/>
      <c r="CC77" s="806"/>
      <c r="CD77" s="806"/>
      <c r="CE77" s="806"/>
      <c r="CF77" s="806"/>
      <c r="CG77" s="806"/>
      <c r="CH77" s="806"/>
      <c r="CI77" s="806"/>
      <c r="CJ77" s="806"/>
      <c r="CK77" s="806"/>
      <c r="CL77" s="806"/>
      <c r="CM77" s="806"/>
      <c r="CN77" s="806"/>
      <c r="CO77" s="806"/>
      <c r="CP77" s="806"/>
      <c r="CQ77" s="806"/>
      <c r="CR77" s="806"/>
      <c r="CS77" s="806"/>
      <c r="CT77" s="806"/>
      <c r="CU77" s="806"/>
      <c r="CV77" s="806"/>
      <c r="CW77" s="806"/>
      <c r="CX77" s="806"/>
      <c r="CY77" s="806"/>
      <c r="CZ77" s="806"/>
      <c r="DA77" s="806"/>
      <c r="DB77" s="806"/>
      <c r="DC77" s="806"/>
      <c r="DD77" s="806"/>
      <c r="DE77" s="806"/>
      <c r="DF77" s="806"/>
      <c r="DG77" s="806"/>
      <c r="DH77" s="806"/>
      <c r="DI77" s="806"/>
      <c r="DJ77" s="806"/>
      <c r="DK77" s="806"/>
      <c r="DL77" s="806"/>
      <c r="DM77" s="806"/>
      <c r="DN77" s="806"/>
      <c r="DO77" s="806"/>
      <c r="DP77" s="806"/>
      <c r="DQ77" s="806"/>
      <c r="DR77" s="806"/>
      <c r="DS77" s="806"/>
      <c r="DT77" s="806"/>
      <c r="DU77" s="806"/>
      <c r="DV77" s="806"/>
      <c r="DW77" s="806"/>
      <c r="DX77" s="806"/>
      <c r="DY77" s="806"/>
      <c r="DZ77" s="806"/>
      <c r="EA77" s="806"/>
      <c r="EB77" s="806"/>
      <c r="EC77" s="806"/>
      <c r="ED77" s="806"/>
      <c r="EE77" s="806"/>
      <c r="EF77" s="806"/>
      <c r="EG77" s="806"/>
      <c r="EH77" s="806"/>
      <c r="EI77" s="806"/>
      <c r="EJ77" s="806"/>
      <c r="EK77" s="806"/>
      <c r="EL77" s="806"/>
      <c r="EM77" s="806"/>
      <c r="EN77" s="806"/>
      <c r="EO77" s="806"/>
      <c r="EP77" s="806"/>
      <c r="EQ77" s="806"/>
      <c r="ER77" s="806"/>
      <c r="ES77" s="806"/>
      <c r="ET77" s="806"/>
      <c r="EU77" s="806"/>
      <c r="EV77" s="806"/>
      <c r="EW77" s="806"/>
      <c r="EX77" s="806"/>
      <c r="EY77" s="806"/>
      <c r="EZ77" s="806"/>
      <c r="FA77" s="806"/>
      <c r="FB77" s="806"/>
      <c r="FC77" s="806"/>
      <c r="FD77" s="806"/>
      <c r="FE77" s="806"/>
      <c r="FF77" s="806"/>
      <c r="FG77" s="806"/>
      <c r="FH77" s="806"/>
      <c r="FI77" s="806"/>
      <c r="FJ77" s="806"/>
      <c r="FK77" s="806"/>
      <c r="FL77" s="806"/>
      <c r="FM77" s="806"/>
      <c r="FN77" s="806"/>
      <c r="FO77" s="806"/>
      <c r="FP77" s="806"/>
      <c r="FQ77" s="806"/>
      <c r="FR77" s="806"/>
      <c r="FS77" s="806"/>
      <c r="FT77" s="806"/>
      <c r="FU77" s="806"/>
      <c r="FV77" s="806"/>
      <c r="FW77" s="806"/>
      <c r="FX77" s="806"/>
      <c r="FY77" s="806"/>
      <c r="FZ77" s="806"/>
      <c r="GA77" s="806"/>
      <c r="GB77" s="806"/>
      <c r="GC77" s="806"/>
      <c r="GD77" s="806"/>
      <c r="GE77" s="806"/>
      <c r="GF77" s="806"/>
      <c r="GG77" s="806"/>
      <c r="GH77" s="806"/>
      <c r="GI77" s="806"/>
      <c r="GJ77" s="806"/>
      <c r="GK77" s="806"/>
      <c r="GL77" s="806"/>
      <c r="GM77" s="806"/>
      <c r="GN77" s="806"/>
      <c r="GO77" s="806"/>
      <c r="GP77" s="806"/>
      <c r="GQ77" s="806"/>
      <c r="GR77" s="806"/>
      <c r="GS77" s="806"/>
      <c r="GT77" s="806"/>
      <c r="GU77" s="806"/>
      <c r="GV77" s="806"/>
      <c r="GW77" s="806"/>
      <c r="GX77" s="806"/>
      <c r="GY77" s="806"/>
      <c r="GZ77" s="806"/>
      <c r="HA77" s="806"/>
      <c r="HB77" s="806"/>
      <c r="HC77" s="806"/>
      <c r="HD77" s="806"/>
      <c r="HE77" s="806"/>
      <c r="HF77" s="806"/>
      <c r="HG77" s="806"/>
      <c r="HH77" s="806"/>
      <c r="HI77" s="806"/>
      <c r="HJ77" s="806"/>
      <c r="HK77" s="806"/>
      <c r="HL77" s="806"/>
      <c r="HM77" s="806"/>
      <c r="HN77" s="806"/>
      <c r="HO77" s="806"/>
      <c r="HP77" s="806"/>
      <c r="HQ77" s="806"/>
      <c r="HR77" s="806"/>
      <c r="HS77" s="806"/>
      <c r="HT77" s="806"/>
      <c r="HU77" s="806"/>
      <c r="HV77" s="806"/>
      <c r="HW77" s="806"/>
      <c r="HX77" s="806"/>
      <c r="HY77" s="806"/>
      <c r="HZ77" s="806"/>
      <c r="IA77" s="806"/>
      <c r="IB77" s="806"/>
      <c r="IC77" s="806"/>
      <c r="ID77" s="806"/>
      <c r="IE77" s="806"/>
      <c r="IF77" s="806"/>
      <c r="IG77" s="806"/>
      <c r="IH77" s="806"/>
      <c r="II77" s="806"/>
      <c r="IJ77" s="806"/>
      <c r="IK77" s="806"/>
      <c r="IL77" s="806"/>
      <c r="IM77" s="806"/>
      <c r="IN77" s="806"/>
      <c r="IO77" s="806"/>
      <c r="IP77" s="806"/>
      <c r="IQ77" s="806"/>
      <c r="IR77" s="806"/>
      <c r="IS77" s="806"/>
      <c r="IT77" s="806"/>
      <c r="IU77" s="806"/>
      <c r="IV77" s="806"/>
    </row>
    <row r="78" spans="1:256" ht="18">
      <c r="A78" s="806"/>
      <c r="B78" s="806"/>
      <c r="C78" s="806"/>
      <c r="D78" s="806"/>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6"/>
      <c r="BA78" s="806"/>
      <c r="BB78" s="806"/>
      <c r="BC78" s="806"/>
      <c r="BD78" s="806"/>
      <c r="BE78" s="806"/>
      <c r="BF78" s="806"/>
      <c r="BG78" s="806"/>
      <c r="BH78" s="806"/>
      <c r="BI78" s="806"/>
      <c r="BJ78" s="806"/>
      <c r="BK78" s="806"/>
      <c r="BL78" s="806"/>
      <c r="BM78" s="806"/>
      <c r="BN78" s="806"/>
      <c r="BO78" s="806"/>
      <c r="BP78" s="806"/>
      <c r="BQ78" s="806"/>
      <c r="BR78" s="806"/>
      <c r="BS78" s="806"/>
      <c r="BT78" s="806"/>
      <c r="BU78" s="806"/>
      <c r="BV78" s="806"/>
      <c r="BW78" s="806"/>
      <c r="BX78" s="806"/>
      <c r="BY78" s="806"/>
      <c r="BZ78" s="806"/>
      <c r="CA78" s="806"/>
      <c r="CB78" s="806"/>
      <c r="CC78" s="806"/>
      <c r="CD78" s="806"/>
      <c r="CE78" s="806"/>
      <c r="CF78" s="806"/>
      <c r="CG78" s="806"/>
      <c r="CH78" s="806"/>
      <c r="CI78" s="806"/>
      <c r="CJ78" s="806"/>
      <c r="CK78" s="806"/>
      <c r="CL78" s="806"/>
      <c r="CM78" s="806"/>
      <c r="CN78" s="806"/>
      <c r="CO78" s="806"/>
      <c r="CP78" s="806"/>
      <c r="CQ78" s="806"/>
      <c r="CR78" s="806"/>
      <c r="CS78" s="806"/>
      <c r="CT78" s="806"/>
      <c r="CU78" s="806"/>
      <c r="CV78" s="806"/>
      <c r="CW78" s="806"/>
      <c r="CX78" s="806"/>
      <c r="CY78" s="806"/>
      <c r="CZ78" s="806"/>
      <c r="DA78" s="806"/>
      <c r="DB78" s="806"/>
      <c r="DC78" s="806"/>
      <c r="DD78" s="806"/>
      <c r="DE78" s="806"/>
      <c r="DF78" s="806"/>
      <c r="DG78" s="806"/>
      <c r="DH78" s="806"/>
      <c r="DI78" s="806"/>
      <c r="DJ78" s="806"/>
      <c r="DK78" s="806"/>
      <c r="DL78" s="806"/>
      <c r="DM78" s="806"/>
      <c r="DN78" s="806"/>
      <c r="DO78" s="806"/>
      <c r="DP78" s="806"/>
      <c r="DQ78" s="806"/>
      <c r="DR78" s="806"/>
      <c r="DS78" s="806"/>
      <c r="DT78" s="806"/>
      <c r="DU78" s="806"/>
      <c r="DV78" s="806"/>
      <c r="DW78" s="806"/>
      <c r="DX78" s="806"/>
      <c r="DY78" s="806"/>
      <c r="DZ78" s="806"/>
      <c r="EA78" s="806"/>
      <c r="EB78" s="806"/>
      <c r="EC78" s="806"/>
      <c r="ED78" s="806"/>
      <c r="EE78" s="806"/>
      <c r="EF78" s="806"/>
      <c r="EG78" s="806"/>
      <c r="EH78" s="806"/>
      <c r="EI78" s="806"/>
      <c r="EJ78" s="806"/>
      <c r="EK78" s="806"/>
      <c r="EL78" s="806"/>
      <c r="EM78" s="806"/>
      <c r="EN78" s="806"/>
      <c r="EO78" s="806"/>
      <c r="EP78" s="806"/>
      <c r="EQ78" s="806"/>
      <c r="ER78" s="806"/>
      <c r="ES78" s="806"/>
      <c r="ET78" s="806"/>
      <c r="EU78" s="806"/>
      <c r="EV78" s="806"/>
      <c r="EW78" s="806"/>
      <c r="EX78" s="806"/>
      <c r="EY78" s="806"/>
      <c r="EZ78" s="806"/>
      <c r="FA78" s="806"/>
      <c r="FB78" s="806"/>
      <c r="FC78" s="806"/>
      <c r="FD78" s="806"/>
      <c r="FE78" s="806"/>
      <c r="FF78" s="806"/>
      <c r="FG78" s="806"/>
      <c r="FH78" s="806"/>
      <c r="FI78" s="806"/>
      <c r="FJ78" s="806"/>
      <c r="FK78" s="806"/>
      <c r="FL78" s="806"/>
      <c r="FM78" s="806"/>
      <c r="FN78" s="806"/>
      <c r="FO78" s="806"/>
      <c r="FP78" s="806"/>
      <c r="FQ78" s="806"/>
      <c r="FR78" s="806"/>
      <c r="FS78" s="806"/>
      <c r="FT78" s="806"/>
      <c r="FU78" s="806"/>
      <c r="FV78" s="806"/>
      <c r="FW78" s="806"/>
      <c r="FX78" s="806"/>
      <c r="FY78" s="806"/>
      <c r="FZ78" s="806"/>
      <c r="GA78" s="806"/>
      <c r="GB78" s="806"/>
      <c r="GC78" s="806"/>
      <c r="GD78" s="806"/>
      <c r="GE78" s="806"/>
      <c r="GF78" s="806"/>
      <c r="GG78" s="806"/>
      <c r="GH78" s="806"/>
      <c r="GI78" s="806"/>
      <c r="GJ78" s="806"/>
      <c r="GK78" s="806"/>
      <c r="GL78" s="806"/>
      <c r="GM78" s="806"/>
      <c r="GN78" s="806"/>
      <c r="GO78" s="806"/>
      <c r="GP78" s="806"/>
      <c r="GQ78" s="806"/>
      <c r="GR78" s="806"/>
      <c r="GS78" s="806"/>
      <c r="GT78" s="806"/>
      <c r="GU78" s="806"/>
      <c r="GV78" s="806"/>
      <c r="GW78" s="806"/>
      <c r="GX78" s="806"/>
      <c r="GY78" s="806"/>
      <c r="GZ78" s="806"/>
      <c r="HA78" s="806"/>
      <c r="HB78" s="806"/>
      <c r="HC78" s="806"/>
      <c r="HD78" s="806"/>
      <c r="HE78" s="806"/>
      <c r="HF78" s="806"/>
      <c r="HG78" s="806"/>
      <c r="HH78" s="806"/>
      <c r="HI78" s="806"/>
      <c r="HJ78" s="806"/>
      <c r="HK78" s="806"/>
      <c r="HL78" s="806"/>
      <c r="HM78" s="806"/>
      <c r="HN78" s="806"/>
      <c r="HO78" s="806"/>
      <c r="HP78" s="806"/>
      <c r="HQ78" s="806"/>
      <c r="HR78" s="806"/>
      <c r="HS78" s="806"/>
      <c r="HT78" s="806"/>
      <c r="HU78" s="806"/>
      <c r="HV78" s="806"/>
      <c r="HW78" s="806"/>
      <c r="HX78" s="806"/>
      <c r="HY78" s="806"/>
      <c r="HZ78" s="806"/>
      <c r="IA78" s="806"/>
      <c r="IB78" s="806"/>
      <c r="IC78" s="806"/>
      <c r="ID78" s="806"/>
      <c r="IE78" s="806"/>
      <c r="IF78" s="806"/>
      <c r="IG78" s="806"/>
      <c r="IH78" s="806"/>
      <c r="II78" s="806"/>
      <c r="IJ78" s="806"/>
      <c r="IK78" s="806"/>
      <c r="IL78" s="806"/>
      <c r="IM78" s="806"/>
      <c r="IN78" s="806"/>
      <c r="IO78" s="806"/>
      <c r="IP78" s="806"/>
      <c r="IQ78" s="806"/>
      <c r="IR78" s="806"/>
      <c r="IS78" s="806"/>
      <c r="IT78" s="806"/>
      <c r="IU78" s="806"/>
      <c r="IV78" s="806"/>
    </row>
    <row r="79" spans="1:256" ht="18">
      <c r="A79" s="806"/>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6"/>
      <c r="BA79" s="806"/>
      <c r="BB79" s="806"/>
      <c r="BC79" s="806"/>
      <c r="BD79" s="806"/>
      <c r="BE79" s="806"/>
      <c r="BF79" s="806"/>
      <c r="BG79" s="806"/>
      <c r="BH79" s="806"/>
      <c r="BI79" s="806"/>
      <c r="BJ79" s="806"/>
      <c r="BK79" s="806"/>
      <c r="BL79" s="806"/>
      <c r="BM79" s="806"/>
      <c r="BN79" s="806"/>
      <c r="BO79" s="806"/>
      <c r="BP79" s="806"/>
      <c r="BQ79" s="806"/>
      <c r="BR79" s="806"/>
      <c r="BS79" s="806"/>
      <c r="BT79" s="806"/>
      <c r="BU79" s="806"/>
      <c r="BV79" s="806"/>
      <c r="BW79" s="806"/>
      <c r="BX79" s="806"/>
      <c r="BY79" s="806"/>
      <c r="BZ79" s="806"/>
      <c r="CA79" s="806"/>
      <c r="CB79" s="806"/>
      <c r="CC79" s="806"/>
      <c r="CD79" s="806"/>
      <c r="CE79" s="806"/>
      <c r="CF79" s="806"/>
      <c r="CG79" s="806"/>
      <c r="CH79" s="806"/>
      <c r="CI79" s="806"/>
      <c r="CJ79" s="806"/>
      <c r="CK79" s="806"/>
      <c r="CL79" s="806"/>
      <c r="CM79" s="806"/>
      <c r="CN79" s="806"/>
      <c r="CO79" s="806"/>
      <c r="CP79" s="806"/>
      <c r="CQ79" s="806"/>
      <c r="CR79" s="806"/>
      <c r="CS79" s="806"/>
      <c r="CT79" s="806"/>
      <c r="CU79" s="806"/>
      <c r="CV79" s="806"/>
      <c r="CW79" s="806"/>
      <c r="CX79" s="806"/>
      <c r="CY79" s="806"/>
      <c r="CZ79" s="806"/>
      <c r="DA79" s="806"/>
      <c r="DB79" s="806"/>
      <c r="DC79" s="806"/>
      <c r="DD79" s="806"/>
      <c r="DE79" s="806"/>
      <c r="DF79" s="806"/>
      <c r="DG79" s="806"/>
      <c r="DH79" s="806"/>
      <c r="DI79" s="806"/>
      <c r="DJ79" s="806"/>
      <c r="DK79" s="806"/>
      <c r="DL79" s="806"/>
      <c r="DM79" s="806"/>
      <c r="DN79" s="806"/>
      <c r="DO79" s="806"/>
      <c r="DP79" s="806"/>
      <c r="DQ79" s="806"/>
      <c r="DR79" s="806"/>
      <c r="DS79" s="806"/>
      <c r="DT79" s="806"/>
      <c r="DU79" s="806"/>
      <c r="DV79" s="806"/>
      <c r="DW79" s="806"/>
      <c r="DX79" s="806"/>
      <c r="DY79" s="806"/>
      <c r="DZ79" s="806"/>
      <c r="EA79" s="806"/>
      <c r="EB79" s="806"/>
      <c r="EC79" s="806"/>
      <c r="ED79" s="806"/>
      <c r="EE79" s="806"/>
      <c r="EF79" s="806"/>
      <c r="EG79" s="806"/>
      <c r="EH79" s="806"/>
      <c r="EI79" s="806"/>
      <c r="EJ79" s="806"/>
      <c r="EK79" s="806"/>
      <c r="EL79" s="806"/>
      <c r="EM79" s="806"/>
      <c r="EN79" s="806"/>
      <c r="EO79" s="806"/>
      <c r="EP79" s="806"/>
      <c r="EQ79" s="806"/>
      <c r="ER79" s="806"/>
      <c r="ES79" s="806"/>
      <c r="ET79" s="806"/>
      <c r="EU79" s="806"/>
      <c r="EV79" s="806"/>
      <c r="EW79" s="806"/>
      <c r="EX79" s="806"/>
      <c r="EY79" s="806"/>
      <c r="EZ79" s="806"/>
      <c r="FA79" s="806"/>
      <c r="FB79" s="806"/>
      <c r="FC79" s="806"/>
      <c r="FD79" s="806"/>
      <c r="FE79" s="806"/>
      <c r="FF79" s="806"/>
      <c r="FG79" s="806"/>
      <c r="FH79" s="806"/>
      <c r="FI79" s="806"/>
      <c r="FJ79" s="806"/>
      <c r="FK79" s="806"/>
      <c r="FL79" s="806"/>
      <c r="FM79" s="806"/>
      <c r="FN79" s="806"/>
      <c r="FO79" s="806"/>
      <c r="FP79" s="806"/>
      <c r="FQ79" s="806"/>
      <c r="FR79" s="806"/>
      <c r="FS79" s="806"/>
      <c r="FT79" s="806"/>
      <c r="FU79" s="806"/>
      <c r="FV79" s="806"/>
      <c r="FW79" s="806"/>
      <c r="FX79" s="806"/>
      <c r="FY79" s="806"/>
      <c r="FZ79" s="806"/>
      <c r="GA79" s="806"/>
      <c r="GB79" s="806"/>
      <c r="GC79" s="806"/>
      <c r="GD79" s="806"/>
      <c r="GE79" s="806"/>
      <c r="GF79" s="806"/>
      <c r="GG79" s="806"/>
      <c r="GH79" s="806"/>
      <c r="GI79" s="806"/>
      <c r="GJ79" s="806"/>
      <c r="GK79" s="806"/>
      <c r="GL79" s="806"/>
      <c r="GM79" s="806"/>
      <c r="GN79" s="806"/>
      <c r="GO79" s="806"/>
      <c r="GP79" s="806"/>
      <c r="GQ79" s="806"/>
      <c r="GR79" s="806"/>
      <c r="GS79" s="806"/>
      <c r="GT79" s="806"/>
      <c r="GU79" s="806"/>
      <c r="GV79" s="806"/>
      <c r="GW79" s="806"/>
      <c r="GX79" s="806"/>
      <c r="GY79" s="806"/>
      <c r="GZ79" s="806"/>
      <c r="HA79" s="806"/>
      <c r="HB79" s="806"/>
      <c r="HC79" s="806"/>
      <c r="HD79" s="806"/>
      <c r="HE79" s="806"/>
      <c r="HF79" s="806"/>
      <c r="HG79" s="806"/>
      <c r="HH79" s="806"/>
      <c r="HI79" s="806"/>
      <c r="HJ79" s="806"/>
      <c r="HK79" s="806"/>
      <c r="HL79" s="806"/>
      <c r="HM79" s="806"/>
      <c r="HN79" s="806"/>
      <c r="HO79" s="806"/>
      <c r="HP79" s="806"/>
      <c r="HQ79" s="806"/>
      <c r="HR79" s="806"/>
      <c r="HS79" s="806"/>
      <c r="HT79" s="806"/>
      <c r="HU79" s="806"/>
      <c r="HV79" s="806"/>
      <c r="HW79" s="806"/>
      <c r="HX79" s="806"/>
      <c r="HY79" s="806"/>
      <c r="HZ79" s="806"/>
      <c r="IA79" s="806"/>
      <c r="IB79" s="806"/>
      <c r="IC79" s="806"/>
      <c r="ID79" s="806"/>
      <c r="IE79" s="806"/>
      <c r="IF79" s="806"/>
      <c r="IG79" s="806"/>
      <c r="IH79" s="806"/>
      <c r="II79" s="806"/>
      <c r="IJ79" s="806"/>
      <c r="IK79" s="806"/>
      <c r="IL79" s="806"/>
      <c r="IM79" s="806"/>
      <c r="IN79" s="806"/>
      <c r="IO79" s="806"/>
      <c r="IP79" s="806"/>
      <c r="IQ79" s="806"/>
      <c r="IR79" s="806"/>
      <c r="IS79" s="806"/>
      <c r="IT79" s="806"/>
      <c r="IU79" s="806"/>
      <c r="IV79" s="806"/>
    </row>
    <row r="80" spans="1:256" ht="18">
      <c r="A80" s="1238"/>
      <c r="B80" s="806"/>
      <c r="C80" s="806"/>
      <c r="D80" s="806"/>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6"/>
      <c r="BA80" s="806"/>
      <c r="BB80" s="806"/>
      <c r="BC80" s="806"/>
      <c r="BD80" s="806"/>
      <c r="BE80" s="806"/>
      <c r="BF80" s="806"/>
      <c r="BG80" s="806"/>
      <c r="BH80" s="806"/>
      <c r="BI80" s="806"/>
      <c r="BJ80" s="806"/>
      <c r="BK80" s="806"/>
      <c r="BL80" s="806"/>
      <c r="BM80" s="806"/>
      <c r="BN80" s="806"/>
      <c r="BO80" s="806"/>
      <c r="BP80" s="806"/>
      <c r="BQ80" s="806"/>
      <c r="BR80" s="806"/>
      <c r="BS80" s="806"/>
      <c r="BT80" s="806"/>
      <c r="BU80" s="806"/>
      <c r="BV80" s="806"/>
      <c r="BW80" s="806"/>
      <c r="BX80" s="806"/>
      <c r="BY80" s="806"/>
      <c r="BZ80" s="806"/>
      <c r="CA80" s="806"/>
      <c r="CB80" s="806"/>
      <c r="CC80" s="806"/>
      <c r="CD80" s="806"/>
      <c r="CE80" s="806"/>
      <c r="CF80" s="806"/>
      <c r="CG80" s="806"/>
      <c r="CH80" s="806"/>
      <c r="CI80" s="806"/>
      <c r="CJ80" s="806"/>
      <c r="CK80" s="806"/>
      <c r="CL80" s="806"/>
      <c r="CM80" s="806"/>
      <c r="CN80" s="806"/>
      <c r="CO80" s="806"/>
      <c r="CP80" s="806"/>
      <c r="CQ80" s="806"/>
      <c r="CR80" s="806"/>
      <c r="CS80" s="806"/>
      <c r="CT80" s="806"/>
      <c r="CU80" s="806"/>
      <c r="CV80" s="806"/>
      <c r="CW80" s="806"/>
      <c r="CX80" s="806"/>
      <c r="CY80" s="806"/>
      <c r="CZ80" s="806"/>
      <c r="DA80" s="806"/>
      <c r="DB80" s="806"/>
      <c r="DC80" s="806"/>
      <c r="DD80" s="806"/>
      <c r="DE80" s="806"/>
      <c r="DF80" s="806"/>
      <c r="DG80" s="806"/>
      <c r="DH80" s="806"/>
      <c r="DI80" s="806"/>
      <c r="DJ80" s="806"/>
      <c r="DK80" s="806"/>
      <c r="DL80" s="806"/>
      <c r="DM80" s="806"/>
      <c r="DN80" s="806"/>
      <c r="DO80" s="806"/>
      <c r="DP80" s="806"/>
      <c r="DQ80" s="806"/>
      <c r="DR80" s="806"/>
      <c r="DS80" s="806"/>
      <c r="DT80" s="806"/>
      <c r="DU80" s="806"/>
      <c r="DV80" s="806"/>
      <c r="DW80" s="806"/>
      <c r="DX80" s="806"/>
      <c r="DY80" s="806"/>
      <c r="DZ80" s="806"/>
      <c r="EA80" s="806"/>
      <c r="EB80" s="806"/>
      <c r="EC80" s="806"/>
      <c r="ED80" s="806"/>
      <c r="EE80" s="806"/>
      <c r="EF80" s="806"/>
      <c r="EG80" s="806"/>
      <c r="EH80" s="806"/>
      <c r="EI80" s="806"/>
      <c r="EJ80" s="806"/>
      <c r="EK80" s="806"/>
      <c r="EL80" s="806"/>
      <c r="EM80" s="806"/>
      <c r="EN80" s="806"/>
      <c r="EO80" s="806"/>
      <c r="EP80" s="806"/>
      <c r="EQ80" s="806"/>
      <c r="ER80" s="806"/>
      <c r="ES80" s="806"/>
      <c r="ET80" s="806"/>
      <c r="EU80" s="806"/>
      <c r="EV80" s="806"/>
      <c r="EW80" s="806"/>
      <c r="EX80" s="806"/>
      <c r="EY80" s="806"/>
      <c r="EZ80" s="806"/>
      <c r="FA80" s="806"/>
      <c r="FB80" s="806"/>
      <c r="FC80" s="806"/>
      <c r="FD80" s="806"/>
      <c r="FE80" s="806"/>
      <c r="FF80" s="806"/>
      <c r="FG80" s="806"/>
      <c r="FH80" s="806"/>
      <c r="FI80" s="806"/>
      <c r="FJ80" s="806"/>
      <c r="FK80" s="806"/>
      <c r="FL80" s="806"/>
      <c r="FM80" s="806"/>
      <c r="FN80" s="806"/>
      <c r="FO80" s="806"/>
      <c r="FP80" s="806"/>
      <c r="FQ80" s="806"/>
      <c r="FR80" s="806"/>
      <c r="FS80" s="806"/>
      <c r="FT80" s="806"/>
      <c r="FU80" s="806"/>
      <c r="FV80" s="806"/>
      <c r="FW80" s="806"/>
      <c r="FX80" s="806"/>
      <c r="FY80" s="806"/>
      <c r="FZ80" s="806"/>
      <c r="GA80" s="806"/>
      <c r="GB80" s="806"/>
      <c r="GC80" s="806"/>
      <c r="GD80" s="806"/>
      <c r="GE80" s="806"/>
      <c r="GF80" s="806"/>
      <c r="GG80" s="806"/>
      <c r="GH80" s="806"/>
      <c r="GI80" s="806"/>
      <c r="GJ80" s="806"/>
      <c r="GK80" s="806"/>
      <c r="GL80" s="806"/>
      <c r="GM80" s="806"/>
      <c r="GN80" s="806"/>
      <c r="GO80" s="806"/>
      <c r="GP80" s="806"/>
      <c r="GQ80" s="806"/>
      <c r="GR80" s="806"/>
      <c r="GS80" s="806"/>
      <c r="GT80" s="806"/>
      <c r="GU80" s="806"/>
      <c r="GV80" s="806"/>
      <c r="GW80" s="806"/>
      <c r="GX80" s="806"/>
      <c r="GY80" s="806"/>
      <c r="GZ80" s="806"/>
      <c r="HA80" s="806"/>
      <c r="HB80" s="806"/>
      <c r="HC80" s="806"/>
      <c r="HD80" s="806"/>
      <c r="HE80" s="806"/>
      <c r="HF80" s="806"/>
      <c r="HG80" s="806"/>
      <c r="HH80" s="806"/>
      <c r="HI80" s="806"/>
      <c r="HJ80" s="806"/>
      <c r="HK80" s="806"/>
      <c r="HL80" s="806"/>
      <c r="HM80" s="806"/>
      <c r="HN80" s="806"/>
      <c r="HO80" s="806"/>
      <c r="HP80" s="806"/>
      <c r="HQ80" s="806"/>
      <c r="HR80" s="806"/>
      <c r="HS80" s="806"/>
      <c r="HT80" s="806"/>
      <c r="HU80" s="806"/>
      <c r="HV80" s="806"/>
      <c r="HW80" s="806"/>
      <c r="HX80" s="806"/>
      <c r="HY80" s="806"/>
      <c r="HZ80" s="806"/>
      <c r="IA80" s="806"/>
      <c r="IB80" s="806"/>
      <c r="IC80" s="806"/>
      <c r="ID80" s="806"/>
      <c r="IE80" s="806"/>
      <c r="IF80" s="806"/>
      <c r="IG80" s="806"/>
      <c r="IH80" s="806"/>
      <c r="II80" s="806"/>
      <c r="IJ80" s="806"/>
      <c r="IK80" s="806"/>
      <c r="IL80" s="806"/>
      <c r="IM80" s="806"/>
      <c r="IN80" s="806"/>
      <c r="IO80" s="806"/>
      <c r="IP80" s="806"/>
      <c r="IQ80" s="806"/>
      <c r="IR80" s="806"/>
      <c r="IS80" s="806"/>
      <c r="IT80" s="806"/>
      <c r="IU80" s="806"/>
      <c r="IV80" s="806"/>
    </row>
    <row r="81" spans="1:256" s="806" customFormat="1" ht="18"/>
    <row r="82" spans="1:256" ht="18">
      <c r="A82" s="806"/>
      <c r="B82" s="806"/>
      <c r="C82" s="806"/>
      <c r="D82" s="806"/>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6"/>
      <c r="BA82" s="806"/>
      <c r="BB82" s="806"/>
      <c r="BC82" s="806"/>
      <c r="BD82" s="806"/>
      <c r="BE82" s="806"/>
      <c r="BF82" s="806"/>
      <c r="BG82" s="806"/>
      <c r="BH82" s="806"/>
      <c r="BI82" s="806"/>
      <c r="BJ82" s="806"/>
      <c r="BK82" s="806"/>
      <c r="BL82" s="806"/>
      <c r="BM82" s="806"/>
      <c r="BN82" s="806"/>
      <c r="BO82" s="806"/>
      <c r="BP82" s="806"/>
      <c r="BQ82" s="806"/>
      <c r="BR82" s="806"/>
      <c r="BS82" s="806"/>
      <c r="BT82" s="806"/>
      <c r="BU82" s="806"/>
      <c r="BV82" s="806"/>
      <c r="BW82" s="806"/>
      <c r="BX82" s="806"/>
      <c r="BY82" s="806"/>
      <c r="BZ82" s="806"/>
      <c r="CA82" s="806"/>
      <c r="CB82" s="806"/>
      <c r="CC82" s="806"/>
      <c r="CD82" s="806"/>
      <c r="CE82" s="806"/>
      <c r="CF82" s="806"/>
      <c r="CG82" s="806"/>
      <c r="CH82" s="806"/>
      <c r="CI82" s="806"/>
      <c r="CJ82" s="806"/>
      <c r="CK82" s="806"/>
      <c r="CL82" s="806"/>
      <c r="CM82" s="806"/>
      <c r="CN82" s="806"/>
      <c r="CO82" s="806"/>
      <c r="CP82" s="806"/>
      <c r="CQ82" s="806"/>
      <c r="CR82" s="806"/>
      <c r="CS82" s="806"/>
      <c r="CT82" s="806"/>
      <c r="CU82" s="806"/>
      <c r="CV82" s="806"/>
      <c r="CW82" s="806"/>
      <c r="CX82" s="806"/>
      <c r="CY82" s="806"/>
      <c r="CZ82" s="806"/>
      <c r="DA82" s="806"/>
      <c r="DB82" s="806"/>
      <c r="DC82" s="806"/>
      <c r="DD82" s="806"/>
      <c r="DE82" s="806"/>
      <c r="DF82" s="806"/>
      <c r="DG82" s="806"/>
      <c r="DH82" s="806"/>
      <c r="DI82" s="806"/>
      <c r="DJ82" s="806"/>
      <c r="DK82" s="806"/>
      <c r="DL82" s="806"/>
      <c r="DM82" s="806"/>
      <c r="DN82" s="806"/>
      <c r="DO82" s="806"/>
      <c r="DP82" s="806"/>
      <c r="DQ82" s="806"/>
      <c r="DR82" s="806"/>
      <c r="DS82" s="806"/>
      <c r="DT82" s="806"/>
      <c r="DU82" s="806"/>
      <c r="DV82" s="806"/>
      <c r="DW82" s="806"/>
      <c r="DX82" s="806"/>
      <c r="DY82" s="806"/>
      <c r="DZ82" s="806"/>
      <c r="EA82" s="806"/>
      <c r="EB82" s="806"/>
      <c r="EC82" s="806"/>
      <c r="ED82" s="806"/>
      <c r="EE82" s="806"/>
      <c r="EF82" s="806"/>
      <c r="EG82" s="806"/>
      <c r="EH82" s="806"/>
      <c r="EI82" s="806"/>
      <c r="EJ82" s="806"/>
      <c r="EK82" s="806"/>
      <c r="EL82" s="806"/>
      <c r="EM82" s="806"/>
      <c r="EN82" s="806"/>
      <c r="EO82" s="806"/>
      <c r="EP82" s="806"/>
      <c r="EQ82" s="806"/>
      <c r="ER82" s="806"/>
      <c r="ES82" s="806"/>
      <c r="ET82" s="806"/>
      <c r="EU82" s="806"/>
      <c r="EV82" s="806"/>
      <c r="EW82" s="806"/>
      <c r="EX82" s="806"/>
      <c r="EY82" s="806"/>
      <c r="EZ82" s="806"/>
      <c r="FA82" s="806"/>
      <c r="FB82" s="806"/>
      <c r="FC82" s="806"/>
      <c r="FD82" s="806"/>
      <c r="FE82" s="806"/>
      <c r="FF82" s="806"/>
      <c r="FG82" s="806"/>
      <c r="FH82" s="806"/>
      <c r="FI82" s="806"/>
      <c r="FJ82" s="806"/>
      <c r="FK82" s="806"/>
      <c r="FL82" s="806"/>
      <c r="FM82" s="806"/>
      <c r="FN82" s="806"/>
      <c r="FO82" s="806"/>
      <c r="FP82" s="806"/>
      <c r="FQ82" s="806"/>
      <c r="FR82" s="806"/>
      <c r="FS82" s="806"/>
      <c r="FT82" s="806"/>
      <c r="FU82" s="806"/>
      <c r="FV82" s="806"/>
      <c r="FW82" s="806"/>
      <c r="FX82" s="806"/>
      <c r="FY82" s="806"/>
      <c r="FZ82" s="806"/>
      <c r="GA82" s="806"/>
      <c r="GB82" s="806"/>
      <c r="GC82" s="806"/>
      <c r="GD82" s="806"/>
      <c r="GE82" s="806"/>
      <c r="GF82" s="806"/>
      <c r="GG82" s="806"/>
      <c r="GH82" s="806"/>
      <c r="GI82" s="806"/>
      <c r="GJ82" s="806"/>
      <c r="GK82" s="806"/>
      <c r="GL82" s="806"/>
      <c r="GM82" s="806"/>
      <c r="GN82" s="806"/>
      <c r="GO82" s="806"/>
      <c r="GP82" s="806"/>
      <c r="GQ82" s="806"/>
      <c r="GR82" s="806"/>
      <c r="GS82" s="806"/>
      <c r="GT82" s="806"/>
      <c r="GU82" s="806"/>
      <c r="GV82" s="806"/>
      <c r="GW82" s="806"/>
      <c r="GX82" s="806"/>
      <c r="GY82" s="806"/>
      <c r="GZ82" s="806"/>
      <c r="HA82" s="806"/>
      <c r="HB82" s="806"/>
      <c r="HC82" s="806"/>
      <c r="HD82" s="806"/>
      <c r="HE82" s="806"/>
      <c r="HF82" s="806"/>
      <c r="HG82" s="806"/>
      <c r="HH82" s="806"/>
      <c r="HI82" s="806"/>
      <c r="HJ82" s="806"/>
      <c r="HK82" s="806"/>
      <c r="HL82" s="806"/>
      <c r="HM82" s="806"/>
      <c r="HN82" s="806"/>
      <c r="HO82" s="806"/>
      <c r="HP82" s="806"/>
      <c r="HQ82" s="806"/>
      <c r="HR82" s="806"/>
      <c r="HS82" s="806"/>
      <c r="HT82" s="806"/>
      <c r="HU82" s="806"/>
      <c r="HV82" s="806"/>
      <c r="HW82" s="806"/>
      <c r="HX82" s="806"/>
      <c r="HY82" s="806"/>
      <c r="HZ82" s="806"/>
      <c r="IA82" s="806"/>
      <c r="IB82" s="806"/>
      <c r="IC82" s="806"/>
      <c r="ID82" s="806"/>
      <c r="IE82" s="806"/>
      <c r="IF82" s="806"/>
      <c r="IG82" s="806"/>
      <c r="IH82" s="806"/>
      <c r="II82" s="806"/>
      <c r="IJ82" s="806"/>
      <c r="IK82" s="806"/>
      <c r="IL82" s="806"/>
      <c r="IM82" s="806"/>
      <c r="IN82" s="806"/>
      <c r="IO82" s="806"/>
      <c r="IP82" s="806"/>
      <c r="IQ82" s="806"/>
      <c r="IR82" s="806"/>
      <c r="IS82" s="806"/>
      <c r="IT82" s="806"/>
      <c r="IU82" s="806"/>
      <c r="IV82" s="806"/>
    </row>
    <row r="83" spans="1:256" s="806" customFormat="1" ht="18"/>
    <row r="84" spans="1:256" s="806" customFormat="1" ht="18"/>
    <row r="85" spans="1:256" s="806" customFormat="1" ht="18"/>
    <row r="86" spans="1:256" ht="18">
      <c r="A86" s="806"/>
      <c r="B86" s="806"/>
      <c r="C86" s="806"/>
      <c r="D86" s="806"/>
      <c r="E86" s="806"/>
      <c r="F86" s="806"/>
      <c r="G86" s="806"/>
      <c r="H86" s="806"/>
      <c r="I86" s="806"/>
      <c r="J86" s="806"/>
      <c r="K86" s="806"/>
      <c r="L86" s="806"/>
      <c r="M86" s="806"/>
      <c r="N86" s="806"/>
      <c r="O86" s="806"/>
      <c r="P86" s="806"/>
      <c r="Q86" s="806"/>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6"/>
      <c r="BA86" s="806"/>
      <c r="BB86" s="806"/>
      <c r="BC86" s="806"/>
      <c r="BD86" s="806"/>
      <c r="BE86" s="806"/>
      <c r="BF86" s="806"/>
      <c r="BG86" s="806"/>
      <c r="BH86" s="806"/>
      <c r="BI86" s="806"/>
      <c r="BJ86" s="806"/>
      <c r="BK86" s="806"/>
      <c r="BL86" s="806"/>
      <c r="BM86" s="806"/>
      <c r="BN86" s="806"/>
      <c r="BO86" s="806"/>
      <c r="BP86" s="806"/>
      <c r="BQ86" s="806"/>
      <c r="BR86" s="806"/>
      <c r="BS86" s="806"/>
      <c r="BT86" s="806"/>
      <c r="BU86" s="806"/>
      <c r="BV86" s="806"/>
      <c r="BW86" s="806"/>
      <c r="BX86" s="806"/>
      <c r="BY86" s="806"/>
      <c r="BZ86" s="806"/>
      <c r="CA86" s="806"/>
      <c r="CB86" s="806"/>
      <c r="CC86" s="806"/>
      <c r="CD86" s="806"/>
      <c r="CE86" s="806"/>
      <c r="CF86" s="806"/>
      <c r="CG86" s="806"/>
      <c r="CH86" s="806"/>
      <c r="CI86" s="806"/>
      <c r="CJ86" s="806"/>
      <c r="CK86" s="806"/>
      <c r="CL86" s="806"/>
      <c r="CM86" s="806"/>
      <c r="CN86" s="806"/>
      <c r="CO86" s="806"/>
      <c r="CP86" s="806"/>
      <c r="CQ86" s="806"/>
      <c r="CR86" s="806"/>
      <c r="CS86" s="806"/>
      <c r="CT86" s="806"/>
      <c r="CU86" s="806"/>
      <c r="CV86" s="806"/>
      <c r="CW86" s="806"/>
      <c r="CX86" s="806"/>
      <c r="CY86" s="806"/>
      <c r="CZ86" s="806"/>
      <c r="DA86" s="806"/>
      <c r="DB86" s="806"/>
      <c r="DC86" s="806"/>
      <c r="DD86" s="806"/>
      <c r="DE86" s="806"/>
      <c r="DF86" s="806"/>
      <c r="DG86" s="806"/>
      <c r="DH86" s="806"/>
      <c r="DI86" s="806"/>
      <c r="DJ86" s="806"/>
      <c r="DK86" s="806"/>
      <c r="DL86" s="806"/>
      <c r="DM86" s="806"/>
      <c r="DN86" s="806"/>
      <c r="DO86" s="806"/>
      <c r="DP86" s="806"/>
      <c r="DQ86" s="806"/>
      <c r="DR86" s="806"/>
      <c r="DS86" s="806"/>
      <c r="DT86" s="806"/>
      <c r="DU86" s="806"/>
      <c r="DV86" s="806"/>
      <c r="DW86" s="806"/>
      <c r="DX86" s="806"/>
      <c r="DY86" s="806"/>
      <c r="DZ86" s="806"/>
      <c r="EA86" s="806"/>
      <c r="EB86" s="806"/>
      <c r="EC86" s="806"/>
      <c r="ED86" s="806"/>
      <c r="EE86" s="806"/>
      <c r="EF86" s="806"/>
      <c r="EG86" s="806"/>
      <c r="EH86" s="806"/>
      <c r="EI86" s="806"/>
      <c r="EJ86" s="806"/>
      <c r="EK86" s="806"/>
      <c r="EL86" s="806"/>
      <c r="EM86" s="806"/>
      <c r="EN86" s="806"/>
      <c r="EO86" s="806"/>
      <c r="EP86" s="806"/>
      <c r="EQ86" s="806"/>
      <c r="ER86" s="806"/>
      <c r="ES86" s="806"/>
      <c r="ET86" s="806"/>
      <c r="EU86" s="806"/>
      <c r="EV86" s="806"/>
      <c r="EW86" s="806"/>
      <c r="EX86" s="806"/>
      <c r="EY86" s="806"/>
      <c r="EZ86" s="806"/>
      <c r="FA86" s="806"/>
      <c r="FB86" s="806"/>
      <c r="FC86" s="806"/>
      <c r="FD86" s="806"/>
      <c r="FE86" s="806"/>
      <c r="FF86" s="806"/>
      <c r="FG86" s="806"/>
      <c r="FH86" s="806"/>
      <c r="FI86" s="806"/>
      <c r="FJ86" s="806"/>
      <c r="FK86" s="806"/>
      <c r="FL86" s="806"/>
      <c r="FM86" s="806"/>
      <c r="FN86" s="806"/>
      <c r="FO86" s="806"/>
      <c r="FP86" s="806"/>
      <c r="FQ86" s="806"/>
      <c r="FR86" s="806"/>
      <c r="FS86" s="806"/>
      <c r="FT86" s="806"/>
      <c r="FU86" s="806"/>
      <c r="FV86" s="806"/>
      <c r="FW86" s="806"/>
      <c r="FX86" s="806"/>
      <c r="FY86" s="806"/>
      <c r="FZ86" s="806"/>
      <c r="GA86" s="806"/>
      <c r="GB86" s="806"/>
      <c r="GC86" s="806"/>
      <c r="GD86" s="806"/>
      <c r="GE86" s="806"/>
      <c r="GF86" s="806"/>
      <c r="GG86" s="806"/>
      <c r="GH86" s="806"/>
      <c r="GI86" s="806"/>
      <c r="GJ86" s="806"/>
      <c r="GK86" s="806"/>
      <c r="GL86" s="806"/>
      <c r="GM86" s="806"/>
      <c r="GN86" s="806"/>
      <c r="GO86" s="806"/>
      <c r="GP86" s="806"/>
      <c r="GQ86" s="806"/>
      <c r="GR86" s="806"/>
      <c r="GS86" s="806"/>
      <c r="GT86" s="806"/>
      <c r="GU86" s="806"/>
      <c r="GV86" s="806"/>
      <c r="GW86" s="806"/>
      <c r="GX86" s="806"/>
      <c r="GY86" s="806"/>
      <c r="GZ86" s="806"/>
      <c r="HA86" s="806"/>
      <c r="HB86" s="806"/>
      <c r="HC86" s="806"/>
      <c r="HD86" s="806"/>
      <c r="HE86" s="806"/>
      <c r="HF86" s="806"/>
      <c r="HG86" s="806"/>
      <c r="HH86" s="806"/>
      <c r="HI86" s="806"/>
      <c r="HJ86" s="806"/>
      <c r="HK86" s="806"/>
      <c r="HL86" s="806"/>
      <c r="HM86" s="806"/>
      <c r="HN86" s="806"/>
      <c r="HO86" s="806"/>
      <c r="HP86" s="806"/>
      <c r="HQ86" s="806"/>
      <c r="HR86" s="806"/>
      <c r="HS86" s="806"/>
      <c r="HT86" s="806"/>
      <c r="HU86" s="806"/>
      <c r="HV86" s="806"/>
      <c r="HW86" s="806"/>
      <c r="HX86" s="806"/>
      <c r="HY86" s="806"/>
      <c r="HZ86" s="806"/>
      <c r="IA86" s="806"/>
      <c r="IB86" s="806"/>
      <c r="IC86" s="806"/>
      <c r="ID86" s="806"/>
      <c r="IE86" s="806"/>
      <c r="IF86" s="806"/>
      <c r="IG86" s="806"/>
      <c r="IH86" s="806"/>
      <c r="II86" s="806"/>
      <c r="IJ86" s="806"/>
      <c r="IK86" s="806"/>
      <c r="IL86" s="806"/>
      <c r="IM86" s="806"/>
      <c r="IN86" s="806"/>
      <c r="IO86" s="806"/>
      <c r="IP86" s="806"/>
      <c r="IQ86" s="806"/>
      <c r="IR86" s="806"/>
      <c r="IS86" s="806"/>
      <c r="IT86" s="806"/>
      <c r="IU86" s="806"/>
      <c r="IV86" s="806"/>
    </row>
    <row r="87" spans="1:256" s="806" customFormat="1" ht="18"/>
    <row r="88" spans="1:256" s="806" customFormat="1" ht="18"/>
    <row r="89" spans="1:256" s="806" customFormat="1" ht="18"/>
    <row r="90" spans="1:256" s="806" customFormat="1" ht="18"/>
    <row r="91" spans="1:256" s="806" customFormat="1" ht="18"/>
    <row r="92" spans="1:256" s="806" customFormat="1" ht="18"/>
    <row r="93" spans="1:256" s="806" customFormat="1" ht="18"/>
    <row r="94" spans="1:256" s="806" customFormat="1" ht="18"/>
    <row r="95" spans="1:256" s="806" customFormat="1" ht="18"/>
    <row r="96" spans="1:256" s="806" customFormat="1" ht="18"/>
    <row r="97" s="806" customFormat="1" ht="18"/>
    <row r="98" s="806" customFormat="1" ht="18"/>
    <row r="99" s="806" customFormat="1" ht="18"/>
    <row r="100" s="806" customFormat="1" ht="18"/>
    <row r="101" s="806" customFormat="1" ht="18"/>
    <row r="102" s="806" customFormat="1" ht="18"/>
    <row r="103" s="806" customFormat="1" ht="18"/>
    <row r="104" s="806" customFormat="1" ht="18"/>
    <row r="105" s="806" customFormat="1" ht="18"/>
    <row r="106" s="806" customFormat="1" ht="18"/>
    <row r="107" s="806" customFormat="1" ht="18"/>
    <row r="108" s="806" customFormat="1" ht="18"/>
    <row r="109" s="806" customFormat="1" ht="18"/>
    <row r="110" s="806" customFormat="1" ht="18"/>
    <row r="111" s="806" customFormat="1" ht="18"/>
    <row r="112" s="806" customFormat="1" ht="18"/>
    <row r="113" s="806" customFormat="1" ht="18"/>
    <row r="114" s="806" customFormat="1" ht="18"/>
    <row r="115" s="806" customFormat="1" ht="18"/>
    <row r="116" s="806" customFormat="1" ht="18"/>
    <row r="117" s="806" customFormat="1" ht="18"/>
    <row r="118" s="806" customFormat="1" ht="18"/>
    <row r="119" s="806" customFormat="1" ht="18"/>
    <row r="120" s="806" customFormat="1" ht="18"/>
    <row r="121" s="806" customFormat="1" ht="18"/>
    <row r="122" s="806" customFormat="1" ht="18"/>
    <row r="123" s="806" customFormat="1" ht="18"/>
    <row r="124" s="806" customFormat="1" ht="18"/>
    <row r="125" s="806" customFormat="1" ht="18"/>
    <row r="126" s="806" customFormat="1" ht="18"/>
    <row r="127" s="806" customFormat="1" ht="18"/>
    <row r="128" s="806" customFormat="1" ht="18"/>
    <row r="129" s="806" customFormat="1" ht="18"/>
    <row r="130" s="806" customFormat="1" ht="18"/>
    <row r="131" s="806" customFormat="1" ht="18"/>
    <row r="132" s="806" customFormat="1" ht="18"/>
    <row r="133" s="806" customFormat="1" ht="18"/>
    <row r="134" s="806" customFormat="1" ht="18"/>
    <row r="135" s="806" customFormat="1" ht="18"/>
    <row r="136" s="806" customFormat="1" ht="18"/>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2"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5"/>
  <sheetViews>
    <sheetView showGridLines="0" zoomScale="80" zoomScaleNormal="80" workbookViewId="0"/>
  </sheetViews>
  <sheetFormatPr defaultColWidth="8.88671875" defaultRowHeight="12.75"/>
  <cols>
    <col min="1" max="1" width="53.5546875" style="3144" customWidth="1"/>
    <col min="2" max="2" width="1.88671875" style="3144" customWidth="1"/>
    <col min="3" max="3" width="2.6640625" style="3144" customWidth="1"/>
    <col min="4" max="4" width="20.21875" style="3144" customWidth="1"/>
    <col min="5" max="5" width="7.88671875" style="3144" customWidth="1"/>
    <col min="6" max="6" width="18.6640625" style="3144" customWidth="1"/>
    <col min="7" max="7" width="7.77734375" style="3144" customWidth="1"/>
    <col min="8" max="8" width="18.6640625" style="3144" customWidth="1"/>
    <col min="9" max="9" width="7.6640625" style="3144" customWidth="1"/>
    <col min="10" max="10" width="21.88671875" style="3144" customWidth="1"/>
    <col min="11" max="11" width="10.6640625" style="3144" customWidth="1"/>
    <col min="12" max="16384" width="8.88671875" style="3144"/>
  </cols>
  <sheetData>
    <row r="1" spans="1:10" ht="15">
      <c r="A1" s="1052" t="s">
        <v>1064</v>
      </c>
    </row>
    <row r="2" spans="1:10" ht="15">
      <c r="A2" s="3145"/>
    </row>
    <row r="3" spans="1:10" ht="18">
      <c r="A3" s="3146" t="s">
        <v>0</v>
      </c>
      <c r="B3" s="3147"/>
      <c r="C3" s="3147"/>
      <c r="D3" s="3147"/>
      <c r="E3" s="3147"/>
      <c r="F3" s="3147"/>
      <c r="G3" s="3146"/>
      <c r="H3" s="3146"/>
      <c r="I3" s="3146"/>
      <c r="J3" s="3149" t="s">
        <v>392</v>
      </c>
    </row>
    <row r="4" spans="1:10" ht="18">
      <c r="A4" s="3146" t="s">
        <v>393</v>
      </c>
      <c r="B4" s="3147"/>
      <c r="C4" s="3146"/>
      <c r="D4" s="3147"/>
      <c r="E4" s="3147"/>
      <c r="F4" s="3147"/>
      <c r="G4" s="3146"/>
      <c r="H4" s="3146"/>
      <c r="I4" s="3146"/>
      <c r="J4" s="3146"/>
    </row>
    <row r="5" spans="1:10" ht="18">
      <c r="A5" s="3146" t="s">
        <v>394</v>
      </c>
      <c r="B5" s="3147"/>
      <c r="C5" s="3146"/>
      <c r="D5" s="3147"/>
      <c r="E5" s="3147"/>
      <c r="F5" s="3147"/>
      <c r="G5" s="3146"/>
      <c r="H5" s="3146"/>
      <c r="I5" s="3146"/>
      <c r="J5" s="3146"/>
    </row>
    <row r="6" spans="1:10" ht="18">
      <c r="A6" s="3146" t="s">
        <v>1462</v>
      </c>
      <c r="B6" s="3147"/>
      <c r="C6" s="3146"/>
      <c r="D6" s="3147"/>
      <c r="E6" s="3147"/>
      <c r="F6" s="3147"/>
      <c r="G6" s="3146"/>
      <c r="H6" s="3146"/>
      <c r="I6" s="3146"/>
      <c r="J6" s="3146"/>
    </row>
    <row r="7" spans="1:10" ht="18">
      <c r="A7" s="3148" t="str">
        <f>'Sch 3 '!A7</f>
        <v>FOR THE MONTH OF APRIL 2018</v>
      </c>
      <c r="B7" s="3147"/>
      <c r="C7" s="3146"/>
      <c r="D7" s="3147"/>
      <c r="E7" s="3147"/>
      <c r="F7" s="3147"/>
      <c r="G7" s="3146"/>
      <c r="H7" s="3146"/>
      <c r="I7" s="3146"/>
      <c r="J7" s="3146"/>
    </row>
    <row r="8" spans="1:10" ht="18">
      <c r="A8" s="3146" t="s">
        <v>957</v>
      </c>
      <c r="B8" s="3147"/>
      <c r="C8" s="3146"/>
      <c r="D8" s="3147"/>
      <c r="E8" s="3147"/>
      <c r="F8" s="3147"/>
      <c r="G8" s="3146"/>
      <c r="H8" s="3146"/>
      <c r="I8" s="3146"/>
      <c r="J8" s="3146"/>
    </row>
    <row r="9" spans="1:10" ht="18">
      <c r="A9" s="3146"/>
      <c r="B9" s="3147"/>
      <c r="C9" s="3146"/>
      <c r="D9" s="3147"/>
      <c r="E9" s="3147"/>
      <c r="F9" s="3147"/>
      <c r="G9" s="3146"/>
      <c r="H9" s="3146"/>
      <c r="I9" s="3146"/>
      <c r="J9" s="3146"/>
    </row>
    <row r="10" spans="1:10" ht="18">
      <c r="A10" s="3146"/>
      <c r="B10" s="3146"/>
      <c r="C10" s="3146"/>
      <c r="D10" s="3146"/>
      <c r="E10" s="3146"/>
      <c r="F10" s="3146"/>
      <c r="G10" s="3146"/>
      <c r="H10" s="3146"/>
      <c r="I10" s="3146"/>
      <c r="J10" s="3146"/>
    </row>
    <row r="11" spans="1:10" ht="18">
      <c r="A11" s="3146"/>
      <c r="B11" s="3146"/>
      <c r="C11" s="3146"/>
      <c r="D11" s="3149"/>
      <c r="E11" s="3146"/>
      <c r="F11" s="3146"/>
      <c r="G11" s="3146"/>
      <c r="H11" s="3146"/>
      <c r="I11" s="3146"/>
      <c r="J11" s="3149"/>
    </row>
    <row r="12" spans="1:10" ht="18">
      <c r="A12" s="3146"/>
      <c r="B12" s="3146"/>
      <c r="C12" s="3146"/>
      <c r="D12" s="3149" t="s">
        <v>237</v>
      </c>
      <c r="E12" s="3146"/>
      <c r="F12" s="3146"/>
      <c r="G12" s="3146"/>
      <c r="H12" s="3146"/>
      <c r="I12" s="3146"/>
      <c r="J12" s="3149" t="s">
        <v>237</v>
      </c>
    </row>
    <row r="13" spans="1:10" ht="18">
      <c r="A13" s="3150" t="s">
        <v>362</v>
      </c>
      <c r="B13" s="3146"/>
      <c r="C13" s="3146"/>
      <c r="D13" s="3151" t="str">
        <f>'Sch 3 '!D11</f>
        <v>APRIL 1, 2018</v>
      </c>
      <c r="E13" s="3146"/>
      <c r="F13" s="3149" t="s">
        <v>239</v>
      </c>
      <c r="G13" s="3146"/>
      <c r="H13" s="3149" t="s">
        <v>240</v>
      </c>
      <c r="I13" s="3146"/>
      <c r="J13" s="3151" t="str">
        <f>'Sch 3 '!L11</f>
        <v>APRIL 30, 2018</v>
      </c>
    </row>
    <row r="14" spans="1:10" ht="18">
      <c r="A14" s="3150"/>
      <c r="B14" s="3146"/>
      <c r="C14" s="3146"/>
      <c r="D14" s="3152"/>
      <c r="E14" s="3146"/>
      <c r="F14" s="3152"/>
      <c r="G14" s="3146"/>
      <c r="H14" s="3153" t="s">
        <v>236</v>
      </c>
      <c r="I14" s="3146"/>
      <c r="J14" s="3152"/>
    </row>
    <row r="15" spans="1:10" ht="18">
      <c r="A15" s="3154" t="s">
        <v>395</v>
      </c>
      <c r="B15" s="3146"/>
      <c r="C15" s="3146"/>
      <c r="D15" s="3146"/>
      <c r="E15" s="3146"/>
      <c r="F15" s="3155"/>
      <c r="G15" s="3146"/>
      <c r="H15" s="3146"/>
      <c r="I15" s="3146"/>
      <c r="J15" s="3146"/>
    </row>
    <row r="16" spans="1:10" ht="24.95" customHeight="1">
      <c r="A16" s="3147" t="s">
        <v>396</v>
      </c>
      <c r="B16" s="3146"/>
      <c r="C16" s="3147"/>
      <c r="D16" s="3156">
        <v>2.7610000000000001</v>
      </c>
      <c r="E16" s="3156"/>
      <c r="F16" s="3157">
        <v>4.0000000000000001E-3</v>
      </c>
      <c r="G16" s="3157"/>
      <c r="H16" s="3157">
        <v>0</v>
      </c>
      <c r="I16" s="3156"/>
      <c r="J16" s="3156">
        <f>ROUND(D16+F16-H16,3)</f>
        <v>2.7650000000000001</v>
      </c>
    </row>
    <row r="17" spans="1:14" ht="24.95" customHeight="1">
      <c r="A17" s="3147" t="s">
        <v>1512</v>
      </c>
      <c r="B17" s="3147"/>
      <c r="C17" s="3147"/>
      <c r="D17" s="3164">
        <v>0</v>
      </c>
      <c r="E17" s="3160"/>
      <c r="F17" s="3165">
        <v>135.506</v>
      </c>
      <c r="G17" s="3162"/>
      <c r="H17" s="3165">
        <v>0</v>
      </c>
      <c r="I17" s="3160"/>
      <c r="J17" s="3159">
        <f>ROUND(D17+F17-H17,3)</f>
        <v>135.506</v>
      </c>
    </row>
    <row r="18" spans="1:14" ht="24.95" customHeight="1">
      <c r="A18" s="3158" t="s">
        <v>1513</v>
      </c>
      <c r="B18" s="3147"/>
      <c r="C18" s="3147"/>
      <c r="D18" s="3159">
        <v>2341.6210000000001</v>
      </c>
      <c r="E18" s="3160"/>
      <c r="F18" s="3161">
        <v>10088.562</v>
      </c>
      <c r="G18" s="3162"/>
      <c r="H18" s="3161">
        <v>9994.2649999999994</v>
      </c>
      <c r="I18" s="3162"/>
      <c r="J18" s="3163">
        <f>ROUND(D18+F18-H18,3)</f>
        <v>2435.9180000000001</v>
      </c>
    </row>
    <row r="19" spans="1:14" ht="24.95" customHeight="1">
      <c r="A19" s="3147" t="s">
        <v>1514</v>
      </c>
      <c r="B19" s="3147"/>
      <c r="C19" s="3147"/>
      <c r="D19" s="3164">
        <v>0</v>
      </c>
      <c r="E19" s="3160"/>
      <c r="F19" s="3165">
        <v>251.13300000000001</v>
      </c>
      <c r="G19" s="3162"/>
      <c r="H19" s="3165">
        <v>251.13300000000001</v>
      </c>
      <c r="I19" s="3160"/>
      <c r="J19" s="3159">
        <f>ROUND(D19+F19-H19,3)</f>
        <v>0</v>
      </c>
    </row>
    <row r="20" spans="1:14" ht="24.95" customHeight="1" thickBot="1">
      <c r="A20" s="3166" t="s">
        <v>397</v>
      </c>
      <c r="B20" s="3147"/>
      <c r="C20" s="3147"/>
      <c r="D20" s="3167">
        <f>ROUND(SUM(D16:D19),3)</f>
        <v>2344.3820000000001</v>
      </c>
      <c r="E20" s="3168"/>
      <c r="F20" s="3169">
        <f>ROUND(SUM(F16:F19),3)</f>
        <v>10475.205</v>
      </c>
      <c r="G20" s="3168"/>
      <c r="H20" s="3169">
        <f>ROUND(SUM(H16:H19),3)</f>
        <v>10245.397999999999</v>
      </c>
      <c r="I20" s="3168"/>
      <c r="J20" s="3167">
        <f>ROUND(SUM(J16:J19),3)</f>
        <v>2574.1889999999999</v>
      </c>
      <c r="K20" s="3170"/>
      <c r="L20" s="3170"/>
      <c r="M20" s="3170"/>
      <c r="N20" s="3170"/>
    </row>
    <row r="21" spans="1:14" ht="18.75" thickTop="1">
      <c r="A21" s="3147"/>
      <c r="B21" s="3147"/>
      <c r="C21" s="3147"/>
      <c r="D21" s="3171"/>
      <c r="E21" s="3147"/>
      <c r="F21" s="3171"/>
      <c r="G21" s="3147"/>
      <c r="H21" s="3171"/>
      <c r="I21" s="3147"/>
      <c r="J21" s="3171"/>
    </row>
    <row r="22" spans="1:14" ht="18">
      <c r="A22" s="3147"/>
      <c r="B22" s="3147"/>
      <c r="C22" s="3147"/>
      <c r="D22" s="3171"/>
      <c r="E22" s="3147"/>
      <c r="F22" s="3171"/>
      <c r="G22" s="3147"/>
      <c r="H22" s="3171"/>
      <c r="I22" s="3147"/>
      <c r="J22" s="3171"/>
    </row>
    <row r="23" spans="1:14" ht="15.75">
      <c r="A23" s="3569" t="s">
        <v>1510</v>
      </c>
      <c r="B23" s="3569"/>
      <c r="C23" s="3569"/>
      <c r="D23" s="3569"/>
      <c r="E23" s="3569"/>
      <c r="F23" s="3569"/>
      <c r="G23" s="3569"/>
      <c r="H23" s="3569"/>
      <c r="I23" s="3569"/>
      <c r="J23" s="3569"/>
    </row>
    <row r="24" spans="1:14" ht="18">
      <c r="A24" s="3147"/>
      <c r="B24" s="3147"/>
      <c r="C24" s="3147"/>
      <c r="D24" s="3171"/>
      <c r="E24" s="3147"/>
      <c r="F24" s="3171"/>
      <c r="G24" s="3147"/>
      <c r="H24" s="3171"/>
      <c r="I24" s="3147"/>
      <c r="J24" s="3171"/>
    </row>
    <row r="25" spans="1:14" ht="18.75" customHeight="1">
      <c r="A25" s="3570" t="s">
        <v>1511</v>
      </c>
      <c r="B25" s="3147"/>
      <c r="C25" s="3147"/>
      <c r="D25" s="3147"/>
      <c r="E25" s="3147"/>
      <c r="F25" s="3147" t="s">
        <v>15</v>
      </c>
      <c r="G25" s="3147"/>
      <c r="H25" s="3147"/>
      <c r="I25" s="3147"/>
      <c r="J25" s="3147"/>
    </row>
    <row r="26" spans="1:14" ht="6" customHeight="1"/>
    <row r="27" spans="1:14" ht="59.25" customHeight="1">
      <c r="A27" s="3768" t="s">
        <v>1443</v>
      </c>
      <c r="B27" s="3768"/>
      <c r="C27" s="3768"/>
      <c r="D27" s="3768"/>
      <c r="E27" s="3768"/>
      <c r="F27" s="3768"/>
      <c r="G27" s="3768"/>
      <c r="H27" s="3768"/>
      <c r="I27" s="3768"/>
      <c r="J27" s="3768"/>
    </row>
    <row r="28" spans="1:14" ht="43.15" customHeight="1">
      <c r="A28" s="3769" t="s">
        <v>1487</v>
      </c>
      <c r="B28" s="3769"/>
      <c r="C28" s="3769"/>
      <c r="D28" s="3769"/>
      <c r="E28" s="3769"/>
      <c r="F28" s="3769"/>
      <c r="G28" s="3769"/>
      <c r="H28" s="3769"/>
      <c r="I28" s="3769"/>
      <c r="J28" s="3769"/>
    </row>
    <row r="29" spans="1:14" ht="18.75" customHeight="1">
      <c r="A29" s="3770"/>
      <c r="B29" s="3770"/>
      <c r="C29" s="3770"/>
      <c r="D29" s="3770"/>
      <c r="E29" s="3770"/>
      <c r="F29" s="3770"/>
      <c r="G29" s="3770"/>
      <c r="H29" s="3770"/>
      <c r="I29" s="3770"/>
      <c r="J29" s="3770"/>
    </row>
    <row r="30" spans="1:14" ht="18" customHeight="1">
      <c r="A30" s="3172"/>
      <c r="B30" s="3225"/>
      <c r="C30" s="3225"/>
      <c r="D30" s="3225"/>
      <c r="E30" s="3225"/>
      <c r="F30" s="3225"/>
      <c r="G30" s="3225"/>
      <c r="H30" s="3225"/>
      <c r="I30" s="3225"/>
      <c r="J30" s="3225"/>
    </row>
    <row r="31" spans="1:14" ht="20.25" customHeight="1">
      <c r="A31" s="3771"/>
      <c r="B31" s="3771"/>
      <c r="C31" s="3771"/>
      <c r="D31" s="3771"/>
      <c r="E31" s="3771"/>
      <c r="F31" s="3771"/>
      <c r="G31" s="3771"/>
      <c r="H31" s="3771"/>
      <c r="I31" s="3771"/>
      <c r="J31" s="3771"/>
    </row>
    <row r="32" spans="1:14" ht="20.25" customHeight="1">
      <c r="A32" s="3226"/>
      <c r="B32" s="3225"/>
      <c r="C32" s="3225"/>
      <c r="D32" s="3225"/>
      <c r="E32" s="3225"/>
      <c r="F32" s="3225"/>
      <c r="G32" s="3225"/>
      <c r="H32" s="3225"/>
      <c r="I32" s="3225"/>
      <c r="J32" s="3225"/>
    </row>
    <row r="33" spans="1:10" ht="20.25" customHeight="1">
      <c r="A33" s="3226"/>
      <c r="B33" s="3225"/>
      <c r="C33" s="3225"/>
      <c r="D33" s="3225"/>
      <c r="E33" s="3225"/>
      <c r="F33" s="3225"/>
      <c r="G33" s="3225"/>
      <c r="H33" s="3225"/>
      <c r="I33" s="3225"/>
      <c r="J33" s="3225"/>
    </row>
    <row r="34" spans="1:10" ht="20.25" customHeight="1">
      <c r="A34" s="3226"/>
      <c r="B34" s="3225"/>
      <c r="C34" s="3225"/>
      <c r="D34" s="3225"/>
      <c r="E34" s="3225"/>
      <c r="F34" s="3225"/>
      <c r="G34" s="3225"/>
      <c r="H34" s="3225"/>
      <c r="I34" s="3225"/>
      <c r="J34" s="3225"/>
    </row>
    <row r="35" spans="1:10" ht="20.25" customHeight="1">
      <c r="A35" s="3226"/>
      <c r="B35" s="3225"/>
      <c r="C35" s="3225"/>
      <c r="D35" s="3225"/>
      <c r="E35" s="3225"/>
      <c r="F35" s="3225"/>
      <c r="G35" s="3225"/>
      <c r="H35" s="3225"/>
      <c r="I35" s="3225"/>
      <c r="J35" s="3225"/>
    </row>
    <row r="36" spans="1:10" ht="20.25" customHeight="1">
      <c r="A36" s="3226"/>
      <c r="B36" s="3225"/>
      <c r="C36" s="3225"/>
      <c r="D36" s="3225"/>
      <c r="E36" s="3225"/>
      <c r="F36" s="3225"/>
      <c r="G36" s="3225"/>
      <c r="H36" s="3225"/>
      <c r="I36" s="3225"/>
      <c r="J36" s="3225"/>
    </row>
    <row r="37" spans="1:10" ht="20.25" customHeight="1">
      <c r="A37" s="3226"/>
      <c r="B37" s="3225"/>
      <c r="C37" s="3225"/>
      <c r="D37" s="3225"/>
      <c r="E37" s="3225"/>
      <c r="F37" s="3225"/>
      <c r="G37" s="3225"/>
      <c r="H37" s="3225"/>
      <c r="I37" s="3225"/>
      <c r="J37" s="3225"/>
    </row>
    <row r="38" spans="1:10" ht="20.25" customHeight="1">
      <c r="A38" s="3226"/>
      <c r="B38" s="3225"/>
      <c r="C38" s="3225"/>
      <c r="D38" s="3225"/>
      <c r="E38" s="3225"/>
      <c r="F38" s="3225"/>
      <c r="G38" s="3225"/>
      <c r="H38" s="3225"/>
      <c r="I38" s="3225"/>
      <c r="J38" s="3225"/>
    </row>
    <row r="39" spans="1:10" ht="20.25" customHeight="1">
      <c r="A39" s="3226"/>
      <c r="B39" s="3225"/>
      <c r="C39" s="3225"/>
      <c r="D39" s="3225"/>
      <c r="E39" s="3225"/>
      <c r="F39" s="3225"/>
      <c r="G39" s="3225"/>
      <c r="H39" s="3225"/>
      <c r="I39" s="3225"/>
      <c r="J39" s="3225"/>
    </row>
    <row r="40" spans="1:10" ht="20.25" customHeight="1">
      <c r="A40" s="3226"/>
      <c r="B40" s="3225"/>
      <c r="C40" s="3225"/>
      <c r="D40" s="3225"/>
      <c r="E40" s="3225"/>
      <c r="F40" s="3225"/>
      <c r="G40" s="3225"/>
      <c r="H40" s="3225"/>
      <c r="I40" s="3225"/>
      <c r="J40" s="3225"/>
    </row>
    <row r="41" spans="1:10" ht="20.25" customHeight="1">
      <c r="A41" s="3226"/>
      <c r="B41" s="3225"/>
      <c r="C41" s="3225"/>
      <c r="D41" s="3225"/>
      <c r="E41" s="3225"/>
      <c r="F41" s="3225"/>
      <c r="G41" s="3225"/>
      <c r="H41" s="3225"/>
      <c r="I41" s="3225"/>
      <c r="J41" s="3225"/>
    </row>
    <row r="42" spans="1:10" ht="20.25" customHeight="1">
      <c r="A42" s="3226"/>
      <c r="B42" s="3225"/>
      <c r="C42" s="3225"/>
      <c r="D42" s="3225"/>
      <c r="E42" s="3225"/>
      <c r="F42" s="3225"/>
      <c r="G42" s="3225"/>
      <c r="H42" s="3225"/>
      <c r="I42" s="3225"/>
      <c r="J42" s="3225"/>
    </row>
    <row r="43" spans="1:10" ht="20.25" customHeight="1">
      <c r="A43" s="3226"/>
      <c r="B43" s="3225"/>
      <c r="C43" s="3225"/>
      <c r="D43" s="3225"/>
      <c r="E43" s="3225"/>
      <c r="F43" s="3225"/>
      <c r="G43" s="3225"/>
      <c r="H43" s="3225"/>
      <c r="I43" s="3225"/>
      <c r="J43" s="3225"/>
    </row>
    <row r="44" spans="1:10" ht="21" customHeight="1"/>
    <row r="45" spans="1:10" ht="21" customHeight="1">
      <c r="A45" s="3226"/>
      <c r="B45" s="3225"/>
      <c r="C45" s="3225"/>
      <c r="D45" s="3225"/>
      <c r="E45" s="3225"/>
      <c r="F45" s="3225"/>
      <c r="G45" s="3225"/>
      <c r="H45" s="3225"/>
      <c r="I45" s="3225"/>
      <c r="J45" s="3225"/>
    </row>
    <row r="46" spans="1:10" ht="18" customHeight="1">
      <c r="A46" s="3173"/>
      <c r="B46" s="3174"/>
      <c r="C46" s="3175"/>
      <c r="D46" s="3176"/>
      <c r="E46" s="3175"/>
      <c r="F46" s="3176"/>
      <c r="G46" s="3175"/>
      <c r="H46" s="3176"/>
      <c r="I46" s="3177"/>
    </row>
    <row r="47" spans="1:10" ht="18" customHeight="1">
      <c r="A47" s="3178"/>
      <c r="B47" s="3174"/>
      <c r="C47" s="3174"/>
      <c r="D47" s="3176"/>
      <c r="E47" s="3174"/>
      <c r="F47" s="3179"/>
      <c r="G47" s="3176"/>
      <c r="H47" s="3176"/>
      <c r="I47" s="3177"/>
    </row>
    <row r="48" spans="1:10" ht="18" customHeight="1">
      <c r="A48" s="3178"/>
      <c r="B48" s="3174"/>
      <c r="C48" s="3174"/>
      <c r="D48" s="3176"/>
      <c r="E48" s="3174"/>
      <c r="F48" s="3179"/>
      <c r="G48" s="3176"/>
      <c r="H48" s="3176"/>
      <c r="I48" s="3177"/>
    </row>
    <row r="49" spans="1:9" ht="18" customHeight="1">
      <c r="A49" s="3178"/>
      <c r="B49" s="3174"/>
      <c r="C49" s="3174"/>
      <c r="D49" s="3176"/>
      <c r="E49" s="3174"/>
      <c r="F49" s="3179"/>
      <c r="G49" s="3176"/>
      <c r="H49" s="3176"/>
      <c r="I49" s="3177"/>
    </row>
    <row r="50" spans="1:9" ht="18" customHeight="1">
      <c r="A50" s="3178"/>
      <c r="B50" s="3174"/>
      <c r="C50" s="3174"/>
      <c r="D50" s="3176"/>
      <c r="E50" s="3174"/>
      <c r="F50" s="3176"/>
      <c r="G50" s="3176"/>
      <c r="H50" s="3180"/>
      <c r="I50" s="3177"/>
    </row>
    <row r="51" spans="1:9" ht="18" customHeight="1">
      <c r="A51" s="3181"/>
      <c r="B51" s="3174"/>
      <c r="C51" s="3174"/>
      <c r="D51" s="3176"/>
      <c r="E51" s="3174"/>
      <c r="F51" s="3176"/>
      <c r="G51" s="3176"/>
      <c r="H51" s="3176"/>
      <c r="I51" s="3177"/>
    </row>
    <row r="52" spans="1:9" ht="18" customHeight="1">
      <c r="A52" s="3182"/>
      <c r="B52" s="3174"/>
      <c r="C52" s="3174"/>
      <c r="D52" s="3176"/>
      <c r="E52" s="3174"/>
      <c r="F52" s="3180"/>
      <c r="G52" s="3176"/>
      <c r="H52" s="3176"/>
      <c r="I52" s="3177"/>
    </row>
    <row r="53" spans="1:9" ht="18" customHeight="1">
      <c r="A53" s="3178"/>
      <c r="B53" s="3174"/>
      <c r="C53" s="3174"/>
      <c r="D53" s="3176"/>
      <c r="E53" s="3174"/>
      <c r="F53" s="3179"/>
      <c r="G53" s="3176"/>
      <c r="H53" s="3176"/>
      <c r="I53" s="3177"/>
    </row>
    <row r="54" spans="1:9" ht="18" customHeight="1">
      <c r="A54" s="3178"/>
      <c r="B54" s="3174"/>
      <c r="C54" s="3174"/>
      <c r="D54" s="3176"/>
      <c r="E54" s="3174"/>
      <c r="F54" s="3183"/>
      <c r="G54" s="3176"/>
      <c r="H54" s="3180"/>
      <c r="I54" s="3177"/>
    </row>
    <row r="55" spans="1:9" ht="18" customHeight="1">
      <c r="A55" s="3181"/>
      <c r="B55" s="3174"/>
      <c r="C55" s="3175"/>
      <c r="D55" s="3184"/>
      <c r="E55" s="3175"/>
      <c r="G55" s="3175"/>
      <c r="H55" s="3184"/>
      <c r="I55" s="3177"/>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7:J27"/>
    <mergeCell ref="A28:J28"/>
    <mergeCell ref="A29:J29"/>
    <mergeCell ref="A31:J31"/>
  </mergeCells>
  <pageMargins left="0.5" right="0.5" top="1" bottom="0.5" header="0" footer="0.25"/>
  <pageSetup scale="66" firstPageNumber="43"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80" workbookViewId="0"/>
  </sheetViews>
  <sheetFormatPr defaultColWidth="8.88671875" defaultRowHeight="12.75"/>
  <cols>
    <col min="1" max="1" width="40.21875" style="1024" customWidth="1"/>
    <col min="2" max="2" width="2.109375" style="1024" customWidth="1"/>
    <col min="3" max="3" width="17.33203125" style="1024" customWidth="1"/>
    <col min="4" max="4" width="2.109375" style="1024" customWidth="1"/>
    <col min="5" max="5" width="15.44140625" style="1024" customWidth="1"/>
    <col min="6" max="6" width="2.109375" style="1024" customWidth="1"/>
    <col min="7" max="7" width="16.109375" style="1024" customWidth="1"/>
    <col min="8" max="8" width="2.109375" style="1024" customWidth="1"/>
    <col min="9" max="9" width="15.5546875" style="1025" customWidth="1"/>
    <col min="10" max="10" width="2.109375" style="1024" customWidth="1"/>
    <col min="11" max="11" width="16.44140625" style="1025" bestFit="1" customWidth="1"/>
    <col min="12" max="12" width="2.109375" style="1024" customWidth="1"/>
    <col min="13" max="13" width="17.33203125" style="1375" customWidth="1"/>
    <col min="14" max="14" width="1.88671875" style="1024" customWidth="1"/>
    <col min="15" max="15" width="1.33203125" style="1024" customWidth="1"/>
    <col min="16" max="16" width="2" style="1024" customWidth="1"/>
    <col min="17" max="17" width="15.44140625" style="1024" customWidth="1"/>
    <col min="18" max="18" width="2.109375" style="1024" customWidth="1"/>
    <col min="19" max="19" width="16.44140625" style="1024" bestFit="1" customWidth="1"/>
    <col min="20" max="20" width="11.77734375" style="1024" customWidth="1"/>
    <col min="21" max="21" width="12.44140625" style="1024" customWidth="1"/>
    <col min="22" max="22" width="8" style="1024" bestFit="1" customWidth="1"/>
    <col min="23" max="16384" width="8.88671875" style="1024"/>
  </cols>
  <sheetData>
    <row r="1" spans="1:23" ht="15">
      <c r="A1" s="1052" t="s">
        <v>1064</v>
      </c>
    </row>
    <row r="2" spans="1:23" ht="15">
      <c r="A2" s="2639"/>
    </row>
    <row r="3" spans="1:23" ht="18">
      <c r="A3" s="1023" t="s">
        <v>0</v>
      </c>
      <c r="S3" s="1023" t="s">
        <v>398</v>
      </c>
    </row>
    <row r="4" spans="1:23" ht="18">
      <c r="A4" s="1023" t="s">
        <v>187</v>
      </c>
      <c r="J4" s="1024" t="s">
        <v>15</v>
      </c>
    </row>
    <row r="5" spans="1:23" ht="18">
      <c r="A5" s="1023" t="s">
        <v>399</v>
      </c>
    </row>
    <row r="6" spans="1:23" ht="18">
      <c r="A6" s="2640" t="str">
        <f>'Cashflow Governmental'!A6</f>
        <v>FISCAL YEAR 2018-2019</v>
      </c>
    </row>
    <row r="9" spans="1:23">
      <c r="C9" s="2488"/>
      <c r="D9" s="2488"/>
      <c r="H9" s="2491"/>
      <c r="L9" s="2488"/>
      <c r="M9" s="2488"/>
      <c r="N9" s="2488"/>
      <c r="O9" s="2493"/>
      <c r="P9" s="2488"/>
    </row>
    <row r="10" spans="1:23">
      <c r="C10" s="2495" t="s">
        <v>123</v>
      </c>
      <c r="D10" s="2495"/>
      <c r="E10" s="3546" t="s">
        <v>1451</v>
      </c>
      <c r="F10" s="3541"/>
      <c r="G10" s="3541"/>
      <c r="H10" s="2488"/>
      <c r="I10" s="2494" t="s">
        <v>1450</v>
      </c>
      <c r="J10" s="3543"/>
      <c r="K10" s="3543"/>
      <c r="L10" s="2488"/>
      <c r="M10" s="2496" t="s">
        <v>123</v>
      </c>
      <c r="N10" s="2488"/>
      <c r="O10" s="2497"/>
      <c r="P10" s="2488"/>
      <c r="Q10" s="2494" t="s">
        <v>1023</v>
      </c>
      <c r="R10" s="2494"/>
      <c r="S10" s="2494"/>
    </row>
    <row r="11" spans="1:23">
      <c r="C11" s="2495" t="s">
        <v>400</v>
      </c>
      <c r="D11" s="2495"/>
      <c r="E11" s="2495" t="s">
        <v>7</v>
      </c>
      <c r="F11" s="2488"/>
      <c r="G11" s="2498" t="s">
        <v>1471</v>
      </c>
      <c r="H11" s="2488"/>
      <c r="I11" s="2495" t="s">
        <v>401</v>
      </c>
      <c r="J11" s="2490" t="s">
        <v>15</v>
      </c>
      <c r="K11" s="2495" t="str">
        <f>G11</f>
        <v>1 MONTH ENDED</v>
      </c>
      <c r="L11" s="2488"/>
      <c r="M11" s="2496" t="s">
        <v>400</v>
      </c>
      <c r="N11" s="2488"/>
      <c r="O11" s="2497"/>
      <c r="P11" s="2488"/>
      <c r="Q11" s="2495" t="s">
        <v>401</v>
      </c>
      <c r="R11" s="2490" t="s">
        <v>15</v>
      </c>
      <c r="S11" s="2495" t="str">
        <f>K11</f>
        <v>1 MONTH ENDED</v>
      </c>
    </row>
    <row r="12" spans="1:23">
      <c r="A12" s="2641" t="s">
        <v>402</v>
      </c>
      <c r="C12" s="2499" t="s">
        <v>1470</v>
      </c>
      <c r="D12" s="3540"/>
      <c r="E12" s="2492" t="s">
        <v>126</v>
      </c>
      <c r="F12" s="2488"/>
      <c r="G12" s="2642" t="s">
        <v>1469</v>
      </c>
      <c r="H12" s="2488"/>
      <c r="I12" s="2492" t="s">
        <v>126</v>
      </c>
      <c r="J12" s="2488"/>
      <c r="K12" s="2489" t="str">
        <f>G12</f>
        <v>APRIL 30, 2018</v>
      </c>
      <c r="L12" s="2488"/>
      <c r="M12" s="2489" t="str">
        <f>K12</f>
        <v>APRIL 30, 2018</v>
      </c>
      <c r="N12" s="2488"/>
      <c r="O12" s="2497"/>
      <c r="P12" s="2488"/>
      <c r="Q12" s="2492" t="str">
        <f>E12</f>
        <v>APRIL</v>
      </c>
      <c r="R12" s="2488"/>
      <c r="S12" s="2489" t="str">
        <f>M12</f>
        <v>APRIL 30, 2018</v>
      </c>
    </row>
    <row r="13" spans="1:23">
      <c r="K13" s="2578"/>
      <c r="O13" s="2643"/>
    </row>
    <row r="14" spans="1:23">
      <c r="A14" s="1026" t="s">
        <v>403</v>
      </c>
      <c r="K14" s="2578"/>
      <c r="O14" s="2643"/>
      <c r="Q14" s="1025"/>
    </row>
    <row r="15" spans="1:23" ht="12" customHeight="1">
      <c r="A15" s="1026"/>
      <c r="K15" s="2578"/>
      <c r="M15" s="1375" t="s">
        <v>15</v>
      </c>
      <c r="O15" s="2643"/>
      <c r="Q15" s="1025"/>
    </row>
    <row r="16" spans="1:23">
      <c r="A16" s="1024" t="s">
        <v>1082</v>
      </c>
      <c r="B16" s="1025"/>
      <c r="C16" s="2576">
        <v>32275100.890000001</v>
      </c>
      <c r="D16" s="2576"/>
      <c r="E16" s="2576">
        <v>0</v>
      </c>
      <c r="F16" s="1025"/>
      <c r="G16" s="3039">
        <f>E16</f>
        <v>0</v>
      </c>
      <c r="H16" s="1025"/>
      <c r="I16" s="2576">
        <v>10919265.6</v>
      </c>
      <c r="J16" s="1025"/>
      <c r="K16" s="3039">
        <v>10919265.6</v>
      </c>
      <c r="L16" s="1025"/>
      <c r="M16" s="2577">
        <f>ROUND(SUM(C16)-SUM(K16)+SUM(G16),2)</f>
        <v>21355835.289999999</v>
      </c>
      <c r="N16" s="1039"/>
      <c r="O16" s="2644"/>
      <c r="P16" s="1025"/>
      <c r="Q16" s="2576">
        <v>390353.72</v>
      </c>
      <c r="R16" s="1025"/>
      <c r="S16" s="3039">
        <v>390353.72</v>
      </c>
      <c r="T16" s="1028"/>
      <c r="U16" s="2576"/>
      <c r="V16" s="3532"/>
      <c r="W16" s="1247"/>
    </row>
    <row r="17" spans="1:23">
      <c r="C17" s="1245"/>
      <c r="D17" s="1245"/>
      <c r="E17" s="1030"/>
      <c r="F17" s="1039"/>
      <c r="G17" s="1376"/>
      <c r="H17" s="1039"/>
      <c r="I17" s="1030"/>
      <c r="J17" s="1039"/>
      <c r="K17" s="2578"/>
      <c r="L17" s="1039"/>
      <c r="M17" s="1376"/>
      <c r="N17" s="1039"/>
      <c r="O17" s="2644"/>
      <c r="P17" s="1039"/>
      <c r="Q17" s="1030"/>
      <c r="R17" s="1039"/>
      <c r="S17" s="2578"/>
      <c r="U17" s="1030"/>
      <c r="V17" s="1246"/>
      <c r="W17" s="1247"/>
    </row>
    <row r="18" spans="1:23">
      <c r="A18" s="1024" t="s">
        <v>404</v>
      </c>
      <c r="C18" s="1245"/>
      <c r="D18" s="1245"/>
      <c r="E18" s="1025"/>
      <c r="F18" s="1025"/>
      <c r="G18" s="1376"/>
      <c r="H18" s="1039"/>
      <c r="J18" s="1025"/>
      <c r="K18" s="2578"/>
      <c r="L18" s="1039"/>
      <c r="M18" s="1376"/>
      <c r="N18" s="1039"/>
      <c r="O18" s="2644"/>
      <c r="P18" s="1039"/>
      <c r="Q18" s="1025"/>
      <c r="R18" s="1025"/>
      <c r="S18" s="2578"/>
      <c r="U18" s="1025"/>
      <c r="V18" s="1246"/>
      <c r="W18" s="1028"/>
    </row>
    <row r="19" spans="1:23" ht="12" customHeight="1">
      <c r="A19" s="1024" t="s">
        <v>1083</v>
      </c>
      <c r="C19" s="2579">
        <v>3117448.29</v>
      </c>
      <c r="D19" s="2579"/>
      <c r="E19" s="1376">
        <v>0</v>
      </c>
      <c r="F19" s="2579"/>
      <c r="G19" s="2579">
        <f>E19</f>
        <v>0</v>
      </c>
      <c r="H19" s="1039"/>
      <c r="I19" s="3036">
        <v>155950.14000000001</v>
      </c>
      <c r="J19" s="2579"/>
      <c r="K19" s="3036">
        <v>155950.14000000001</v>
      </c>
      <c r="L19" s="1025" t="s">
        <v>15</v>
      </c>
      <c r="M19" s="2579">
        <f>ROUND(SUM(C19)-SUM(K19)+SUM(G19),2)</f>
        <v>2961498.15</v>
      </c>
      <c r="N19" s="1039"/>
      <c r="O19" s="2644"/>
      <c r="P19" s="1039" t="s">
        <v>15</v>
      </c>
      <c r="Q19" s="1376">
        <v>7965.69</v>
      </c>
      <c r="R19" s="2579"/>
      <c r="S19" s="1376">
        <v>7965.69</v>
      </c>
      <c r="T19" s="1028"/>
      <c r="U19" s="1376"/>
      <c r="V19" s="1246"/>
      <c r="W19" s="1247"/>
    </row>
    <row r="20" spans="1:23">
      <c r="A20" s="1024" t="s">
        <v>405</v>
      </c>
      <c r="C20" s="2579">
        <v>0</v>
      </c>
      <c r="D20" s="2579"/>
      <c r="E20" s="1376">
        <v>0</v>
      </c>
      <c r="F20" s="2579"/>
      <c r="G20" s="2579">
        <f t="shared" ref="G20:G23" si="0">E20</f>
        <v>0</v>
      </c>
      <c r="H20" s="1039"/>
      <c r="I20" s="3036">
        <v>0</v>
      </c>
      <c r="J20" s="2579"/>
      <c r="K20" s="3036">
        <v>0</v>
      </c>
      <c r="L20" s="1039"/>
      <c r="M20" s="2579">
        <f>ROUND(SUM(C20)-SUM(K20)+SUM(G20),2)</f>
        <v>0</v>
      </c>
      <c r="N20" s="1039"/>
      <c r="O20" s="2644"/>
      <c r="P20" s="1039"/>
      <c r="Q20" s="1376">
        <v>0</v>
      </c>
      <c r="R20" s="2579"/>
      <c r="S20" s="1376">
        <v>0</v>
      </c>
      <c r="T20" s="1028"/>
      <c r="U20" s="1376"/>
      <c r="V20" s="1246"/>
      <c r="W20" s="1247"/>
    </row>
    <row r="21" spans="1:23">
      <c r="A21" s="1024" t="s">
        <v>1440</v>
      </c>
      <c r="C21" s="2579">
        <v>346341865.67000002</v>
      </c>
      <c r="D21" s="2579"/>
      <c r="E21" s="1376">
        <v>0</v>
      </c>
      <c r="F21" s="2579"/>
      <c r="G21" s="2579">
        <f t="shared" si="0"/>
        <v>0</v>
      </c>
      <c r="H21" s="1039"/>
      <c r="I21" s="3036">
        <v>8964855.8100000005</v>
      </c>
      <c r="J21" s="2579"/>
      <c r="K21" s="3036">
        <v>8964855.8100000005</v>
      </c>
      <c r="L21" s="1039"/>
      <c r="M21" s="2579">
        <f>ROUND(SUM(C21)-SUM(K21)+SUM(G21),2)</f>
        <v>337377009.86000001</v>
      </c>
      <c r="N21" s="1039"/>
      <c r="O21" s="2644"/>
      <c r="P21" s="1039"/>
      <c r="Q21" s="1376">
        <v>1619885.03</v>
      </c>
      <c r="R21" s="2579"/>
      <c r="S21" s="1376">
        <v>1619885.03</v>
      </c>
      <c r="T21" s="1028"/>
      <c r="U21" s="1376"/>
      <c r="V21" s="1246"/>
      <c r="W21" s="1247"/>
    </row>
    <row r="22" spans="1:23">
      <c r="A22" s="1024" t="s">
        <v>406</v>
      </c>
      <c r="C22" s="2579">
        <v>27878354.940000001</v>
      </c>
      <c r="D22" s="2579"/>
      <c r="E22" s="1376">
        <v>0</v>
      </c>
      <c r="F22" s="2579"/>
      <c r="G22" s="2579">
        <f t="shared" si="0"/>
        <v>0</v>
      </c>
      <c r="H22" s="1039"/>
      <c r="I22" s="3036">
        <v>1745370.35</v>
      </c>
      <c r="J22" s="2579"/>
      <c r="K22" s="3036">
        <v>1745370.35</v>
      </c>
      <c r="L22" s="1039"/>
      <c r="M22" s="2579">
        <f>ROUND(SUM(C22)-SUM(K22)+SUM(G22),2)</f>
        <v>26132984.59</v>
      </c>
      <c r="N22" s="1039"/>
      <c r="O22" s="2644"/>
      <c r="P22" s="1039"/>
      <c r="Q22" s="1376">
        <v>145624.19</v>
      </c>
      <c r="R22" s="2579"/>
      <c r="S22" s="1376">
        <v>145624.19</v>
      </c>
      <c r="T22" s="1028"/>
      <c r="U22" s="1376"/>
      <c r="V22" s="1246"/>
      <c r="W22" s="1247"/>
    </row>
    <row r="23" spans="1:23">
      <c r="A23" s="1024" t="s">
        <v>1084</v>
      </c>
      <c r="C23" s="2579">
        <v>56923093.560000002</v>
      </c>
      <c r="D23" s="2579"/>
      <c r="E23" s="1376">
        <v>0</v>
      </c>
      <c r="F23" s="2579"/>
      <c r="G23" s="2579">
        <f t="shared" si="0"/>
        <v>0</v>
      </c>
      <c r="H23" s="1039"/>
      <c r="I23" s="3036">
        <v>155000</v>
      </c>
      <c r="J23" s="2579"/>
      <c r="K23" s="3036">
        <v>155000</v>
      </c>
      <c r="L23" s="1039"/>
      <c r="M23" s="2579">
        <f>ROUND(SUM(C23)-SUM(K23)+SUM(G23),2)</f>
        <v>56768093.560000002</v>
      </c>
      <c r="N23" s="1039"/>
      <c r="O23" s="2644"/>
      <c r="P23" s="1039"/>
      <c r="Q23" s="1376">
        <v>21500</v>
      </c>
      <c r="R23" s="2579"/>
      <c r="S23" s="1376">
        <v>21500</v>
      </c>
      <c r="T23" s="1028"/>
      <c r="U23" s="1376"/>
      <c r="V23" s="1246"/>
      <c r="W23" s="1247"/>
    </row>
    <row r="24" spans="1:23">
      <c r="C24" s="1376"/>
      <c r="D24" s="1376"/>
      <c r="E24" s="1030"/>
      <c r="F24" s="1039"/>
      <c r="G24" s="1376"/>
      <c r="H24" s="1039"/>
      <c r="I24" s="1030"/>
      <c r="J24" s="1039"/>
      <c r="K24" s="2578"/>
      <c r="L24" s="1039"/>
      <c r="M24" s="1376"/>
      <c r="N24" s="1039"/>
      <c r="O24" s="2644"/>
      <c r="P24" s="1039"/>
      <c r="Q24" s="1030"/>
      <c r="R24" s="1039"/>
      <c r="S24" s="2578"/>
      <c r="U24" s="1030"/>
      <c r="V24" s="1246"/>
      <c r="W24" s="1247"/>
    </row>
    <row r="25" spans="1:23">
      <c r="A25" s="1024" t="s">
        <v>973</v>
      </c>
      <c r="C25" s="1376"/>
      <c r="D25" s="1376"/>
      <c r="E25" s="1030"/>
      <c r="F25" s="1039"/>
      <c r="G25" s="1376"/>
      <c r="H25" s="1039"/>
      <c r="I25" s="1030"/>
      <c r="J25" s="1039"/>
      <c r="K25" s="2578"/>
      <c r="L25" s="1039"/>
      <c r="M25" s="1376"/>
      <c r="N25" s="1039"/>
      <c r="O25" s="2644"/>
      <c r="P25" s="1039"/>
      <c r="Q25" s="1030"/>
      <c r="R25" s="1039"/>
      <c r="S25" s="2578"/>
      <c r="U25" s="1030"/>
      <c r="V25" s="1246"/>
      <c r="W25" s="1028"/>
    </row>
    <row r="26" spans="1:23">
      <c r="A26" s="1024" t="s">
        <v>1104</v>
      </c>
      <c r="C26" s="2579">
        <v>1617602.67</v>
      </c>
      <c r="D26" s="2579"/>
      <c r="E26" s="1376">
        <v>0</v>
      </c>
      <c r="F26" s="2579"/>
      <c r="G26" s="2579">
        <f t="shared" ref="G26" si="1">E26</f>
        <v>0</v>
      </c>
      <c r="H26" s="1039"/>
      <c r="I26" s="1376">
        <v>144787.74</v>
      </c>
      <c r="J26" s="2579"/>
      <c r="K26" s="3036">
        <v>144787.74</v>
      </c>
      <c r="L26" s="1039"/>
      <c r="M26" s="2579">
        <f>ROUND(SUM(C26)-SUM(K26)+SUM(G26),2)</f>
        <v>1472814.93</v>
      </c>
      <c r="N26" s="1039"/>
      <c r="O26" s="2644"/>
      <c r="P26" s="1039"/>
      <c r="Q26" s="1376">
        <v>32179.200000000001</v>
      </c>
      <c r="R26" s="2579"/>
      <c r="S26" s="1376">
        <v>32179.200000000001</v>
      </c>
      <c r="T26" s="1028"/>
      <c r="U26" s="1376"/>
      <c r="V26" s="1246"/>
      <c r="W26" s="1247"/>
    </row>
    <row r="27" spans="1:23">
      <c r="C27" s="1376"/>
      <c r="D27" s="1376"/>
      <c r="E27" s="1030"/>
      <c r="F27" s="1039"/>
      <c r="G27" s="1376"/>
      <c r="H27" s="1039"/>
      <c r="I27" s="1030"/>
      <c r="J27" s="1039"/>
      <c r="K27" s="2578"/>
      <c r="L27" s="1039"/>
      <c r="M27" s="1376"/>
      <c r="N27" s="1039"/>
      <c r="O27" s="2644"/>
      <c r="P27" s="1039"/>
      <c r="Q27" s="1030"/>
      <c r="R27" s="1039"/>
      <c r="S27" s="2578"/>
      <c r="U27" s="1030"/>
      <c r="V27" s="1246"/>
      <c r="W27" s="1247"/>
    </row>
    <row r="28" spans="1:23">
      <c r="A28" s="1024" t="s">
        <v>1378</v>
      </c>
      <c r="C28" s="1376"/>
      <c r="D28" s="1376"/>
      <c r="E28" s="1030"/>
      <c r="F28" s="1039"/>
      <c r="G28" s="1376"/>
      <c r="H28" s="1039"/>
      <c r="I28" s="1030"/>
      <c r="J28" s="1039"/>
      <c r="K28" s="2578"/>
      <c r="L28" s="1039"/>
      <c r="M28" s="1376"/>
      <c r="N28" s="1039"/>
      <c r="O28" s="2644"/>
      <c r="P28" s="1039"/>
      <c r="Q28" s="1030"/>
      <c r="R28" s="1039"/>
      <c r="S28" s="2578"/>
      <c r="U28" s="1030"/>
      <c r="V28" s="1246"/>
    </row>
    <row r="29" spans="1:23">
      <c r="A29" s="1024" t="s">
        <v>407</v>
      </c>
      <c r="C29" s="2579">
        <v>169207.37</v>
      </c>
      <c r="D29" s="2579"/>
      <c r="E29" s="1376">
        <v>0</v>
      </c>
      <c r="F29" s="2579"/>
      <c r="G29" s="2579">
        <f t="shared" ref="G29:G31" si="2">E29</f>
        <v>0</v>
      </c>
      <c r="H29" s="1039"/>
      <c r="I29" s="1376">
        <v>160000</v>
      </c>
      <c r="J29" s="2579"/>
      <c r="K29" s="3036">
        <v>160000</v>
      </c>
      <c r="L29" s="1039"/>
      <c r="M29" s="2579">
        <f>ROUND(SUM(C29)-SUM(K29)+SUM(G29),2)</f>
        <v>9207.3700000000008</v>
      </c>
      <c r="N29" s="1039"/>
      <c r="O29" s="2644"/>
      <c r="P29" s="1039"/>
      <c r="Q29" s="1376">
        <v>4000</v>
      </c>
      <c r="R29" s="2579"/>
      <c r="S29" s="1376">
        <v>4000</v>
      </c>
      <c r="T29" s="1028"/>
      <c r="U29" s="1376"/>
      <c r="V29" s="1246"/>
      <c r="W29" s="1247"/>
    </row>
    <row r="30" spans="1:23">
      <c r="A30" s="1024" t="s">
        <v>1085</v>
      </c>
      <c r="C30" s="2579">
        <v>3324942.21</v>
      </c>
      <c r="D30" s="2579"/>
      <c r="E30" s="1376">
        <v>0</v>
      </c>
      <c r="F30" s="2579"/>
      <c r="G30" s="2579">
        <f t="shared" si="2"/>
        <v>0</v>
      </c>
      <c r="H30" s="1039"/>
      <c r="I30" s="1376">
        <v>395830.42</v>
      </c>
      <c r="J30" s="2579"/>
      <c r="K30" s="3036">
        <v>395830.42</v>
      </c>
      <c r="L30" s="1039"/>
      <c r="M30" s="2579">
        <f>ROUND(SUM(C30)-SUM(K30)+SUM(G30),2)</f>
        <v>2929111.79</v>
      </c>
      <c r="N30" s="1039"/>
      <c r="O30" s="2644"/>
      <c r="P30" s="1039"/>
      <c r="Q30" s="1376">
        <v>12395.76</v>
      </c>
      <c r="R30" s="2579"/>
      <c r="S30" s="1376">
        <v>12395.76</v>
      </c>
      <c r="T30" s="1028"/>
      <c r="U30" s="1376"/>
      <c r="V30" s="1246"/>
      <c r="W30" s="1247"/>
    </row>
    <row r="31" spans="1:23">
      <c r="A31" s="1024" t="s">
        <v>408</v>
      </c>
      <c r="C31" s="2579">
        <v>15647986.470000001</v>
      </c>
      <c r="D31" s="2579"/>
      <c r="E31" s="1376">
        <v>0</v>
      </c>
      <c r="F31" s="2579"/>
      <c r="G31" s="2579">
        <f t="shared" si="2"/>
        <v>0</v>
      </c>
      <c r="H31" s="1039"/>
      <c r="I31" s="1376">
        <v>1417503.04</v>
      </c>
      <c r="J31" s="2579"/>
      <c r="K31" s="3036">
        <v>1417503.04</v>
      </c>
      <c r="L31" s="1039"/>
      <c r="M31" s="2579">
        <f>ROUND(SUM(C31)-SUM(K31)+SUM(G31),2)</f>
        <v>14230483.43</v>
      </c>
      <c r="N31" s="1039"/>
      <c r="O31" s="2644"/>
      <c r="P31" s="1039"/>
      <c r="Q31" s="1376">
        <v>111475.06</v>
      </c>
      <c r="R31" s="2579"/>
      <c r="S31" s="1376">
        <v>111475.06</v>
      </c>
      <c r="T31" s="1028"/>
      <c r="U31" s="1376"/>
      <c r="V31" s="1246"/>
      <c r="W31" s="1247"/>
    </row>
    <row r="32" spans="1:23">
      <c r="C32" s="1376"/>
      <c r="D32" s="1376"/>
      <c r="E32" s="1030"/>
      <c r="F32" s="1039"/>
      <c r="G32" s="1376"/>
      <c r="H32" s="1039"/>
      <c r="I32" s="1030"/>
      <c r="J32" s="1039"/>
      <c r="K32" s="2578"/>
      <c r="L32" s="1039"/>
      <c r="M32" s="1376"/>
      <c r="N32" s="1039"/>
      <c r="O32" s="2644"/>
      <c r="P32" s="1039"/>
      <c r="Q32" s="1030"/>
      <c r="R32" s="1039"/>
      <c r="S32" s="2578"/>
      <c r="U32" s="1030"/>
      <c r="V32" s="1246"/>
      <c r="W32" s="1247"/>
    </row>
    <row r="33" spans="1:24">
      <c r="A33" s="1024" t="s">
        <v>409</v>
      </c>
      <c r="C33" s="1376"/>
      <c r="D33" s="1376"/>
      <c r="E33" s="1030"/>
      <c r="F33" s="1039"/>
      <c r="G33" s="1376"/>
      <c r="H33" s="1039"/>
      <c r="I33" s="1030"/>
      <c r="J33" s="1039"/>
      <c r="K33" s="2578"/>
      <c r="L33" s="1039"/>
      <c r="M33" s="1376"/>
      <c r="N33" s="1039"/>
      <c r="O33" s="2644"/>
      <c r="P33" s="1039"/>
      <c r="Q33" s="1030"/>
      <c r="R33" s="1039"/>
      <c r="S33" s="2578"/>
      <c r="U33" s="1030"/>
      <c r="V33" s="1246"/>
      <c r="W33" s="1028"/>
    </row>
    <row r="34" spans="1:24">
      <c r="A34" s="1024" t="s">
        <v>1379</v>
      </c>
      <c r="C34" s="2579">
        <v>8471182.4600000009</v>
      </c>
      <c r="D34" s="2579"/>
      <c r="E34" s="1376">
        <v>0</v>
      </c>
      <c r="F34" s="2579"/>
      <c r="G34" s="2579">
        <f t="shared" ref="G34:G35" si="3">E34</f>
        <v>0</v>
      </c>
      <c r="H34" s="1039"/>
      <c r="I34" s="3036">
        <v>877240.43</v>
      </c>
      <c r="J34" s="2579"/>
      <c r="K34" s="3036">
        <v>877240.43</v>
      </c>
      <c r="L34" s="1039"/>
      <c r="M34" s="2579">
        <f>ROUND(SUM(C34)-SUM(K34)+SUM(G34),2)</f>
        <v>7593942.0300000003</v>
      </c>
      <c r="N34" s="1039"/>
      <c r="O34" s="2644"/>
      <c r="P34" s="1039"/>
      <c r="Q34" s="1376">
        <v>61958.67</v>
      </c>
      <c r="R34" s="2579"/>
      <c r="S34" s="1376">
        <v>61958.67</v>
      </c>
      <c r="T34" s="1028"/>
      <c r="U34" s="1376"/>
      <c r="V34" s="1246"/>
      <c r="W34" s="1247"/>
    </row>
    <row r="35" spans="1:24">
      <c r="A35" s="1024" t="s">
        <v>410</v>
      </c>
      <c r="C35" s="2579">
        <v>116058318.43000001</v>
      </c>
      <c r="D35" s="2579"/>
      <c r="E35" s="1376">
        <v>0</v>
      </c>
      <c r="F35" s="2579"/>
      <c r="G35" s="2579">
        <f t="shared" si="3"/>
        <v>0</v>
      </c>
      <c r="H35" s="1039"/>
      <c r="I35" s="3036">
        <v>6896891.29</v>
      </c>
      <c r="J35" s="2579"/>
      <c r="K35" s="3036">
        <v>6896891.29</v>
      </c>
      <c r="L35" s="1039"/>
      <c r="M35" s="2579">
        <f>ROUND(SUM(C35)-SUM(K35)+SUM(G35),2)</f>
        <v>109161427.14</v>
      </c>
      <c r="N35" s="1039"/>
      <c r="O35" s="2644"/>
      <c r="P35" s="1039"/>
      <c r="Q35" s="1376">
        <v>1195935.45</v>
      </c>
      <c r="R35" s="2579"/>
      <c r="S35" s="1376">
        <v>1195935.45</v>
      </c>
      <c r="T35" s="1028"/>
      <c r="U35" s="1376"/>
      <c r="V35" s="1246"/>
      <c r="W35" s="1247"/>
      <c r="X35" s="1028"/>
    </row>
    <row r="36" spans="1:24">
      <c r="C36" s="1376"/>
      <c r="D36" s="1376"/>
      <c r="E36" s="1030"/>
      <c r="F36" s="1039"/>
      <c r="G36" s="1376"/>
      <c r="H36" s="1039"/>
      <c r="I36" s="1030"/>
      <c r="J36" s="1039"/>
      <c r="K36" s="2578"/>
      <c r="L36" s="1039"/>
      <c r="M36" s="1376"/>
      <c r="N36" s="1039"/>
      <c r="O36" s="2644"/>
      <c r="P36" s="1039"/>
      <c r="Q36" s="1030"/>
      <c r="R36" s="1039"/>
      <c r="S36" s="2578"/>
      <c r="U36" s="1030"/>
      <c r="V36" s="1246"/>
      <c r="W36" s="1247"/>
    </row>
    <row r="37" spans="1:24">
      <c r="A37" s="1024" t="s">
        <v>411</v>
      </c>
      <c r="C37" s="1376"/>
      <c r="D37" s="1376"/>
      <c r="E37" s="3037"/>
      <c r="F37" s="1039"/>
      <c r="G37" s="2579"/>
      <c r="H37" s="1039"/>
      <c r="I37" s="3037"/>
      <c r="J37" s="1039"/>
      <c r="K37" s="2578"/>
      <c r="L37" s="1039"/>
      <c r="M37" s="1376"/>
      <c r="N37" s="1039"/>
      <c r="O37" s="2644"/>
      <c r="P37" s="1039"/>
      <c r="Q37" s="3037"/>
      <c r="R37" s="1039"/>
      <c r="S37" s="2578"/>
      <c r="U37" s="3037"/>
      <c r="V37" s="1246"/>
      <c r="W37" s="1028"/>
    </row>
    <row r="38" spans="1:24">
      <c r="A38" s="1024" t="s">
        <v>1441</v>
      </c>
      <c r="C38" s="2579">
        <v>10360000</v>
      </c>
      <c r="D38" s="2579"/>
      <c r="E38" s="1376">
        <v>0</v>
      </c>
      <c r="F38" s="2579"/>
      <c r="G38" s="2579">
        <f t="shared" ref="G38:G39" si="4">E38</f>
        <v>0</v>
      </c>
      <c r="H38" s="1039"/>
      <c r="I38" s="1376">
        <v>800000</v>
      </c>
      <c r="J38" s="2579"/>
      <c r="K38" s="1376">
        <v>800000</v>
      </c>
      <c r="L38" s="1039"/>
      <c r="M38" s="2579">
        <f>ROUND(SUM(C38)-SUM(K38)+SUM(G38),2)</f>
        <v>9560000</v>
      </c>
      <c r="N38" s="1039"/>
      <c r="O38" s="2644"/>
      <c r="P38" s="1039"/>
      <c r="Q38" s="1376">
        <v>159400</v>
      </c>
      <c r="R38" s="2579"/>
      <c r="S38" s="1376">
        <v>159400</v>
      </c>
      <c r="T38" s="1028"/>
      <c r="U38" s="1376"/>
      <c r="V38" s="1246"/>
      <c r="W38" s="1247"/>
    </row>
    <row r="39" spans="1:24">
      <c r="A39" s="1024" t="s">
        <v>1086</v>
      </c>
      <c r="C39" s="2579">
        <v>8410000</v>
      </c>
      <c r="D39" s="2579"/>
      <c r="E39" s="1376">
        <v>0</v>
      </c>
      <c r="F39" s="2579"/>
      <c r="G39" s="2579">
        <f t="shared" si="4"/>
        <v>0</v>
      </c>
      <c r="H39" s="1039"/>
      <c r="I39" s="3036">
        <v>0</v>
      </c>
      <c r="J39" s="2579"/>
      <c r="K39" s="3036">
        <v>0</v>
      </c>
      <c r="L39" s="1039"/>
      <c r="M39" s="2579">
        <f>ROUND(SUM(C39)-SUM(K39)+SUM(G39),2)</f>
        <v>8410000</v>
      </c>
      <c r="N39" s="1039"/>
      <c r="O39" s="2644"/>
      <c r="P39" s="1039"/>
      <c r="Q39" s="1376">
        <v>0</v>
      </c>
      <c r="R39" s="2579"/>
      <c r="S39" s="1376">
        <v>0</v>
      </c>
      <c r="T39" s="1028"/>
      <c r="U39" s="1376"/>
      <c r="V39" s="1246"/>
      <c r="W39" s="1247"/>
    </row>
    <row r="40" spans="1:24">
      <c r="C40" s="1376"/>
      <c r="D40" s="1376"/>
      <c r="E40" s="3037"/>
      <c r="F40" s="1248"/>
      <c r="G40" s="3542"/>
      <c r="H40" s="1039"/>
      <c r="I40" s="3037"/>
      <c r="J40" s="1248"/>
      <c r="K40" s="3038"/>
      <c r="L40" s="1039"/>
      <c r="M40" s="1376"/>
      <c r="N40" s="1039"/>
      <c r="O40" s="2644"/>
      <c r="P40" s="1039"/>
      <c r="Q40" s="3037"/>
      <c r="R40" s="1248"/>
      <c r="S40" s="3038"/>
      <c r="U40" s="3037"/>
      <c r="V40" s="1246"/>
      <c r="W40" s="1247"/>
    </row>
    <row r="41" spans="1:24">
      <c r="A41" s="1024" t="s">
        <v>1087</v>
      </c>
      <c r="C41" s="2579">
        <v>0</v>
      </c>
      <c r="D41" s="2579"/>
      <c r="E41" s="1376">
        <v>0</v>
      </c>
      <c r="F41" s="2579"/>
      <c r="G41" s="2579">
        <f t="shared" ref="G41" si="5">E41</f>
        <v>0</v>
      </c>
      <c r="H41" s="1039"/>
      <c r="I41" s="1376">
        <v>0</v>
      </c>
      <c r="J41" s="2579"/>
      <c r="K41" s="1376">
        <v>0</v>
      </c>
      <c r="L41" s="1039"/>
      <c r="M41" s="2579">
        <f>ROUND(SUM(C41)-SUM(K41)+SUM(G41),2)</f>
        <v>0</v>
      </c>
      <c r="N41" s="1039"/>
      <c r="O41" s="2644"/>
      <c r="P41" s="1039"/>
      <c r="Q41" s="1376">
        <v>0</v>
      </c>
      <c r="R41" s="2579"/>
      <c r="S41" s="1376">
        <v>0</v>
      </c>
      <c r="T41" s="1028"/>
      <c r="U41" s="1376"/>
      <c r="V41" s="1246"/>
      <c r="W41" s="1247"/>
    </row>
    <row r="42" spans="1:24">
      <c r="C42" s="2579"/>
      <c r="D42" s="2579"/>
      <c r="E42" s="3037"/>
      <c r="F42" s="1039"/>
      <c r="G42" s="2579"/>
      <c r="H42" s="1039"/>
      <c r="I42" s="3037"/>
      <c r="J42" s="1039"/>
      <c r="K42" s="2578"/>
      <c r="L42" s="1039"/>
      <c r="M42" s="1376"/>
      <c r="N42" s="1039"/>
      <c r="O42" s="2644"/>
      <c r="P42" s="1039"/>
      <c r="Q42" s="3037"/>
      <c r="R42" s="1039"/>
      <c r="S42" s="2578"/>
      <c r="U42" s="3037"/>
      <c r="V42" s="1246"/>
      <c r="W42" s="1247"/>
    </row>
    <row r="43" spans="1:24">
      <c r="A43" s="1024" t="s">
        <v>412</v>
      </c>
      <c r="C43" s="2579">
        <v>20989840.039999999</v>
      </c>
      <c r="D43" s="2579"/>
      <c r="E43" s="1376">
        <v>0</v>
      </c>
      <c r="F43" s="2579"/>
      <c r="G43" s="2579">
        <f t="shared" ref="G43" si="6">E43</f>
        <v>0</v>
      </c>
      <c r="H43" s="1039"/>
      <c r="I43" s="3036">
        <v>1313010.07</v>
      </c>
      <c r="J43" s="2579"/>
      <c r="K43" s="3036">
        <v>1313010.07</v>
      </c>
      <c r="L43" s="1039"/>
      <c r="M43" s="2579">
        <f>ROUND(SUM(C43)-SUM(K43)+SUM(G43),2)</f>
        <v>19676829.969999999</v>
      </c>
      <c r="N43" s="1039"/>
      <c r="O43" s="2644"/>
      <c r="P43" s="1039"/>
      <c r="Q43" s="1376">
        <v>146628.43</v>
      </c>
      <c r="R43" s="2579"/>
      <c r="S43" s="1376">
        <v>146628.43</v>
      </c>
      <c r="T43" s="1028"/>
      <c r="U43" s="1376"/>
      <c r="V43" s="1246"/>
      <c r="W43" s="1247"/>
    </row>
    <row r="44" spans="1:24">
      <c r="C44" s="2579"/>
      <c r="D44" s="2579"/>
      <c r="E44" s="1338"/>
      <c r="F44" s="1039"/>
      <c r="G44" s="2579"/>
      <c r="H44" s="1039"/>
      <c r="I44" s="1338"/>
      <c r="J44" s="1039"/>
      <c r="K44" s="2578"/>
      <c r="L44" s="1039"/>
      <c r="M44" s="1376"/>
      <c r="N44" s="1039"/>
      <c r="O44" s="2644"/>
      <c r="P44" s="1039"/>
      <c r="Q44" s="1338"/>
      <c r="R44" s="1039"/>
      <c r="S44" s="2578"/>
      <c r="U44" s="1338"/>
      <c r="V44" s="1246"/>
      <c r="W44" s="1247"/>
    </row>
    <row r="45" spans="1:24">
      <c r="A45" s="1024" t="s">
        <v>413</v>
      </c>
      <c r="C45" s="2579">
        <v>0</v>
      </c>
      <c r="D45" s="2579"/>
      <c r="E45" s="1376">
        <v>0</v>
      </c>
      <c r="F45" s="2579"/>
      <c r="G45" s="2579">
        <f t="shared" ref="G45" si="7">E45</f>
        <v>0</v>
      </c>
      <c r="H45" s="1039"/>
      <c r="I45" s="3036">
        <v>0</v>
      </c>
      <c r="J45" s="2579"/>
      <c r="K45" s="3036">
        <v>0</v>
      </c>
      <c r="L45" s="1039"/>
      <c r="M45" s="2579">
        <f>ROUND(SUM(C45)-SUM(K45)+SUM(G45),2)</f>
        <v>0</v>
      </c>
      <c r="N45" s="1039"/>
      <c r="O45" s="2644"/>
      <c r="P45" s="1039"/>
      <c r="Q45" s="1376">
        <v>0</v>
      </c>
      <c r="R45" s="2579"/>
      <c r="S45" s="1376">
        <v>0</v>
      </c>
      <c r="T45" s="1028"/>
      <c r="U45" s="1376"/>
      <c r="V45" s="1246"/>
      <c r="W45" s="1247"/>
    </row>
    <row r="46" spans="1:24">
      <c r="C46" s="2579"/>
      <c r="D46" s="2579"/>
      <c r="E46" s="1030"/>
      <c r="F46" s="1039"/>
      <c r="G46" s="1376"/>
      <c r="H46" s="1039"/>
      <c r="I46" s="1030"/>
      <c r="J46" s="1039"/>
      <c r="K46" s="2578"/>
      <c r="L46" s="1039"/>
      <c r="M46" s="1376"/>
      <c r="N46" s="1039"/>
      <c r="O46" s="2644"/>
      <c r="P46" s="1039"/>
      <c r="Q46" s="1030"/>
      <c r="R46" s="1039"/>
      <c r="S46" s="2578"/>
      <c r="U46" s="1030"/>
      <c r="V46" s="1246"/>
      <c r="W46" s="1247"/>
    </row>
    <row r="47" spans="1:24">
      <c r="A47" s="1024" t="s">
        <v>414</v>
      </c>
      <c r="C47" s="2580"/>
      <c r="D47" s="2580"/>
      <c r="E47" s="3037"/>
      <c r="F47" s="1248"/>
      <c r="G47" s="2579"/>
      <c r="H47" s="1039"/>
      <c r="I47" s="3037"/>
      <c r="J47" s="1248"/>
      <c r="K47" s="2578"/>
      <c r="L47" s="1039"/>
      <c r="M47" s="1376"/>
      <c r="N47" s="1039"/>
      <c r="O47" s="2644"/>
      <c r="P47" s="1039"/>
      <c r="Q47" s="3037"/>
      <c r="R47" s="1248"/>
      <c r="S47" s="2578"/>
      <c r="U47" s="3037"/>
      <c r="V47" s="1246"/>
      <c r="W47" s="1247"/>
    </row>
    <row r="48" spans="1:24">
      <c r="A48" s="1024" t="s">
        <v>415</v>
      </c>
      <c r="C48" s="2580">
        <v>690922411.05999994</v>
      </c>
      <c r="D48" s="2580"/>
      <c r="E48" s="1376">
        <v>0</v>
      </c>
      <c r="F48" s="2579"/>
      <c r="G48" s="2579">
        <f t="shared" ref="G48:G53" si="8">E48</f>
        <v>0</v>
      </c>
      <c r="H48" s="1039"/>
      <c r="I48" s="3036">
        <v>0</v>
      </c>
      <c r="J48" s="2579"/>
      <c r="K48" s="3036">
        <v>0</v>
      </c>
      <c r="L48" s="1039"/>
      <c r="M48" s="2579">
        <f t="shared" ref="M48:M53" si="9">ROUND(SUM(C48)-SUM(K48)+SUM(G48),2)</f>
        <v>690922411.05999994</v>
      </c>
      <c r="N48" s="1039"/>
      <c r="O48" s="2644"/>
      <c r="P48" s="1039"/>
      <c r="Q48" s="1376">
        <v>0</v>
      </c>
      <c r="R48" s="2579"/>
      <c r="S48" s="1376">
        <v>0</v>
      </c>
      <c r="T48" s="2645"/>
      <c r="U48" s="1376"/>
      <c r="V48" s="1246"/>
      <c r="W48" s="1247"/>
    </row>
    <row r="49" spans="1:23">
      <c r="A49" s="1024" t="s">
        <v>416</v>
      </c>
      <c r="C49" s="2580">
        <v>15195330.58</v>
      </c>
      <c r="D49" s="2580"/>
      <c r="E49" s="1376">
        <v>0</v>
      </c>
      <c r="F49" s="2579"/>
      <c r="G49" s="2579">
        <f t="shared" si="8"/>
        <v>0</v>
      </c>
      <c r="H49" s="1039"/>
      <c r="I49" s="3036">
        <v>0</v>
      </c>
      <c r="J49" s="2579"/>
      <c r="K49" s="3036">
        <v>0</v>
      </c>
      <c r="L49" s="1039"/>
      <c r="M49" s="2579">
        <f t="shared" si="9"/>
        <v>15195330.58</v>
      </c>
      <c r="N49" s="1039"/>
      <c r="O49" s="2644"/>
      <c r="P49" s="1039"/>
      <c r="Q49" s="1376">
        <v>0</v>
      </c>
      <c r="R49" s="2579"/>
      <c r="S49" s="1376">
        <v>0</v>
      </c>
      <c r="T49" s="2645"/>
      <c r="U49" s="1376"/>
      <c r="V49" s="1246"/>
      <c r="W49" s="1247"/>
    </row>
    <row r="50" spans="1:23">
      <c r="A50" s="1024" t="s">
        <v>417</v>
      </c>
      <c r="C50" s="2580">
        <v>45220784.829999998</v>
      </c>
      <c r="D50" s="2580"/>
      <c r="E50" s="1376">
        <v>0</v>
      </c>
      <c r="F50" s="2579"/>
      <c r="G50" s="2579">
        <f t="shared" si="8"/>
        <v>0</v>
      </c>
      <c r="H50" s="1039"/>
      <c r="I50" s="3036">
        <v>0</v>
      </c>
      <c r="J50" s="2579"/>
      <c r="K50" s="3036">
        <v>0</v>
      </c>
      <c r="L50" s="1039"/>
      <c r="M50" s="2579">
        <f t="shared" si="9"/>
        <v>45220784.829999998</v>
      </c>
      <c r="N50" s="1039"/>
      <c r="O50" s="2644"/>
      <c r="P50" s="1039"/>
      <c r="Q50" s="1376">
        <v>0</v>
      </c>
      <c r="R50" s="2579"/>
      <c r="S50" s="1376">
        <v>0</v>
      </c>
      <c r="T50" s="2645"/>
      <c r="U50" s="1376"/>
      <c r="V50" s="1246"/>
      <c r="W50" s="1247"/>
    </row>
    <row r="51" spans="1:23">
      <c r="A51" s="1024" t="s">
        <v>418</v>
      </c>
      <c r="C51" s="2580">
        <v>95856947.159999996</v>
      </c>
      <c r="D51" s="2580"/>
      <c r="E51" s="1376">
        <v>0</v>
      </c>
      <c r="F51" s="2579"/>
      <c r="G51" s="2579">
        <f t="shared" si="8"/>
        <v>0</v>
      </c>
      <c r="H51" s="1039"/>
      <c r="I51" s="1376">
        <v>0</v>
      </c>
      <c r="J51" s="2579"/>
      <c r="K51" s="1376">
        <v>0</v>
      </c>
      <c r="L51" s="1039"/>
      <c r="M51" s="2579">
        <f t="shared" si="9"/>
        <v>95856947.159999996</v>
      </c>
      <c r="N51" s="1039"/>
      <c r="O51" s="2644"/>
      <c r="P51" s="1039"/>
      <c r="Q51" s="1376">
        <v>0</v>
      </c>
      <c r="R51" s="2579"/>
      <c r="S51" s="1376">
        <v>0</v>
      </c>
      <c r="T51" s="2645"/>
      <c r="U51" s="1376"/>
      <c r="V51" s="1246"/>
      <c r="W51" s="1247"/>
    </row>
    <row r="52" spans="1:23">
      <c r="A52" s="1024" t="s">
        <v>419</v>
      </c>
      <c r="C52" s="2580">
        <v>5412943.0899999999</v>
      </c>
      <c r="D52" s="2580"/>
      <c r="E52" s="1376">
        <v>0</v>
      </c>
      <c r="F52" s="2579"/>
      <c r="G52" s="2579">
        <f t="shared" si="8"/>
        <v>0</v>
      </c>
      <c r="H52" s="1039"/>
      <c r="I52" s="3036">
        <v>0</v>
      </c>
      <c r="J52" s="2579"/>
      <c r="K52" s="3036">
        <v>0</v>
      </c>
      <c r="L52" s="1039"/>
      <c r="M52" s="2579">
        <f t="shared" si="9"/>
        <v>5412943.0899999999</v>
      </c>
      <c r="N52" s="1039"/>
      <c r="O52" s="2644"/>
      <c r="P52" s="1039"/>
      <c r="Q52" s="1376">
        <v>0</v>
      </c>
      <c r="R52" s="2579"/>
      <c r="S52" s="1376">
        <v>0</v>
      </c>
      <c r="T52" s="2645"/>
      <c r="U52" s="1376"/>
      <c r="V52" s="1246"/>
      <c r="W52" s="1247"/>
    </row>
    <row r="53" spans="1:23">
      <c r="A53" s="1024" t="s">
        <v>974</v>
      </c>
      <c r="C53" s="2579">
        <v>759341045.04999995</v>
      </c>
      <c r="D53" s="2579"/>
      <c r="E53" s="1376">
        <v>0</v>
      </c>
      <c r="F53" s="2579"/>
      <c r="G53" s="2579">
        <f t="shared" si="8"/>
        <v>0</v>
      </c>
      <c r="H53" s="1039"/>
      <c r="I53" s="3036">
        <v>0</v>
      </c>
      <c r="J53" s="2579"/>
      <c r="K53" s="3036">
        <v>0</v>
      </c>
      <c r="L53" s="1039"/>
      <c r="M53" s="2579">
        <f t="shared" si="9"/>
        <v>759341045.04999995</v>
      </c>
      <c r="N53" s="1039"/>
      <c r="O53" s="2644"/>
      <c r="P53" s="1039"/>
      <c r="Q53" s="1376">
        <v>0</v>
      </c>
      <c r="R53" s="2579"/>
      <c r="S53" s="1376">
        <v>0</v>
      </c>
      <c r="T53" s="2645"/>
      <c r="U53" s="1376"/>
      <c r="V53" s="1246"/>
      <c r="W53" s="1247"/>
    </row>
    <row r="54" spans="1:23">
      <c r="C54" s="2579"/>
      <c r="D54" s="2579"/>
      <c r="E54" s="1030"/>
      <c r="F54" s="1039"/>
      <c r="G54" s="1376"/>
      <c r="H54" s="1039"/>
      <c r="I54" s="1030"/>
      <c r="J54" s="1039"/>
      <c r="K54" s="2578"/>
      <c r="L54" s="1039"/>
      <c r="M54" s="2579"/>
      <c r="N54" s="1039"/>
      <c r="O54" s="2644"/>
      <c r="P54" s="1039"/>
      <c r="Q54" s="1030"/>
      <c r="R54" s="1039"/>
      <c r="S54" s="2578"/>
      <c r="U54" s="1030"/>
      <c r="V54" s="1246"/>
      <c r="W54" s="1247"/>
    </row>
    <row r="55" spans="1:23">
      <c r="A55" s="1024" t="s">
        <v>975</v>
      </c>
      <c r="C55" s="2579"/>
      <c r="D55" s="2579"/>
      <c r="E55" s="3037"/>
      <c r="F55" s="1248"/>
      <c r="G55" s="2579"/>
      <c r="H55" s="1039"/>
      <c r="I55" s="3037"/>
      <c r="J55" s="1248"/>
      <c r="K55" s="2578"/>
      <c r="L55" s="1039"/>
      <c r="M55" s="2579"/>
      <c r="N55" s="1039"/>
      <c r="O55" s="2644"/>
      <c r="P55" s="1039"/>
      <c r="Q55" s="3037"/>
      <c r="R55" s="1248"/>
      <c r="S55" s="2578"/>
      <c r="U55" s="3037"/>
      <c r="V55" s="1246"/>
      <c r="W55" s="1028"/>
    </row>
    <row r="56" spans="1:23">
      <c r="A56" s="1024" t="s">
        <v>1088</v>
      </c>
      <c r="C56" s="2579">
        <v>919698.6</v>
      </c>
      <c r="D56" s="2579"/>
      <c r="E56" s="1376">
        <v>0</v>
      </c>
      <c r="F56" s="2579"/>
      <c r="G56" s="2579">
        <f t="shared" ref="G56:G57" si="10">E56</f>
        <v>0</v>
      </c>
      <c r="H56" s="1039"/>
      <c r="I56" s="3036">
        <v>0</v>
      </c>
      <c r="J56" s="2579"/>
      <c r="K56" s="3036">
        <v>0</v>
      </c>
      <c r="L56" s="1039"/>
      <c r="M56" s="2579">
        <f>ROUND(SUM(C56)-SUM(K56)+SUM(G56),2)</f>
        <v>919698.6</v>
      </c>
      <c r="N56" s="1039"/>
      <c r="O56" s="2644"/>
      <c r="P56" s="1039"/>
      <c r="Q56" s="1376">
        <v>0</v>
      </c>
      <c r="R56" s="2579"/>
      <c r="S56" s="1376">
        <v>0</v>
      </c>
      <c r="T56" s="1028"/>
      <c r="U56" s="1376"/>
      <c r="V56" s="1246"/>
      <c r="W56" s="1247"/>
    </row>
    <row r="57" spans="1:23">
      <c r="A57" s="1024" t="s">
        <v>1053</v>
      </c>
      <c r="C57" s="2579">
        <v>3686569.96</v>
      </c>
      <c r="D57" s="2579"/>
      <c r="E57" s="1376">
        <v>0</v>
      </c>
      <c r="F57" s="2579"/>
      <c r="G57" s="2579">
        <f t="shared" si="10"/>
        <v>0</v>
      </c>
      <c r="H57" s="1039"/>
      <c r="I57" s="3036">
        <v>503952.61</v>
      </c>
      <c r="J57" s="2579"/>
      <c r="K57" s="3036">
        <v>503952.61</v>
      </c>
      <c r="L57" s="1039"/>
      <c r="M57" s="2579">
        <f>ROUND(SUM(C57)-SUM(K57)+SUM(G57),2)</f>
        <v>3182617.35</v>
      </c>
      <c r="N57" s="1039"/>
      <c r="O57" s="2644"/>
      <c r="P57" s="1039"/>
      <c r="Q57" s="1376">
        <v>74336.600000000006</v>
      </c>
      <c r="R57" s="2579"/>
      <c r="S57" s="1376">
        <v>74336.600000000006</v>
      </c>
      <c r="T57" s="1028"/>
      <c r="U57" s="1376"/>
      <c r="V57" s="1246"/>
      <c r="W57" s="1247"/>
    </row>
    <row r="58" spans="1:23" ht="13.5" customHeight="1">
      <c r="C58" s="2579"/>
      <c r="D58" s="2579"/>
      <c r="E58" s="1030"/>
      <c r="F58" s="1039"/>
      <c r="G58" s="1376"/>
      <c r="H58" s="1039"/>
      <c r="I58" s="1030"/>
      <c r="J58" s="1039"/>
      <c r="K58" s="2578"/>
      <c r="L58" s="1039"/>
      <c r="M58" s="1376"/>
      <c r="N58" s="1039"/>
      <c r="O58" s="2644"/>
      <c r="P58" s="1039"/>
      <c r="Q58" s="1030"/>
      <c r="R58" s="1039"/>
      <c r="S58" s="2578"/>
      <c r="U58" s="1030"/>
      <c r="V58" s="1246"/>
      <c r="W58" s="1247"/>
    </row>
    <row r="59" spans="1:23">
      <c r="A59" s="1024" t="s">
        <v>1425</v>
      </c>
      <c r="C59" s="2579">
        <v>99505289.030000001</v>
      </c>
      <c r="D59" s="2579"/>
      <c r="E59" s="1376">
        <v>0</v>
      </c>
      <c r="F59" s="2579"/>
      <c r="G59" s="2579">
        <f t="shared" ref="G59" si="11">E59</f>
        <v>0</v>
      </c>
      <c r="H59" s="1039"/>
      <c r="I59" s="3036">
        <v>0</v>
      </c>
      <c r="J59" s="2579"/>
      <c r="K59" s="3036">
        <v>0</v>
      </c>
      <c r="L59" s="1039"/>
      <c r="M59" s="2579">
        <f>ROUND(SUM(C59)-SUM(K59)+SUM(G59),2)</f>
        <v>99505289.030000001</v>
      </c>
      <c r="N59" s="1039"/>
      <c r="O59" s="2644"/>
      <c r="P59" s="1039"/>
      <c r="Q59" s="1376">
        <v>0</v>
      </c>
      <c r="R59" s="2579"/>
      <c r="S59" s="1376">
        <v>0</v>
      </c>
      <c r="T59" s="1028"/>
      <c r="U59" s="1376"/>
      <c r="V59" s="1246"/>
      <c r="W59" s="1247"/>
    </row>
    <row r="60" spans="1:23" ht="13.5" customHeight="1">
      <c r="C60" s="2579"/>
      <c r="D60" s="2579"/>
      <c r="E60" s="1030"/>
      <c r="F60" s="1039"/>
      <c r="G60" s="1376"/>
      <c r="H60" s="1039"/>
      <c r="I60" s="1030"/>
      <c r="J60" s="1039"/>
      <c r="K60" s="2578"/>
      <c r="L60" s="1039"/>
      <c r="M60" s="1376"/>
      <c r="N60" s="1039"/>
      <c r="O60" s="2644"/>
      <c r="P60" s="1039"/>
      <c r="Q60" s="1030"/>
      <c r="R60" s="1039"/>
      <c r="S60" s="2578"/>
      <c r="U60" s="1030"/>
      <c r="V60" s="1246"/>
      <c r="W60" s="1247"/>
    </row>
    <row r="61" spans="1:23">
      <c r="A61" s="1024" t="s">
        <v>420</v>
      </c>
      <c r="C61" s="2579"/>
      <c r="D61" s="2579"/>
      <c r="E61" s="3037"/>
      <c r="F61" s="1039"/>
      <c r="G61" s="1376"/>
      <c r="H61" s="1039"/>
      <c r="I61" s="3037"/>
      <c r="J61" s="1039"/>
      <c r="K61" s="2578"/>
      <c r="L61" s="1039"/>
      <c r="M61" s="1376"/>
      <c r="N61" s="1039"/>
      <c r="O61" s="2644"/>
      <c r="P61" s="1039"/>
      <c r="Q61" s="3037"/>
      <c r="R61" s="1039"/>
      <c r="S61" s="2578"/>
      <c r="U61" s="3037"/>
      <c r="V61" s="1246"/>
      <c r="W61" s="1028"/>
    </row>
    <row r="62" spans="1:23">
      <c r="A62" s="1024" t="s">
        <v>417</v>
      </c>
      <c r="C62" s="2579">
        <v>3739037.1</v>
      </c>
      <c r="D62" s="2579"/>
      <c r="E62" s="1376">
        <v>0</v>
      </c>
      <c r="F62" s="2579"/>
      <c r="G62" s="2579">
        <f t="shared" ref="G62:G63" si="12">E62</f>
        <v>0</v>
      </c>
      <c r="H62" s="1039"/>
      <c r="I62" s="3036">
        <v>270342.5</v>
      </c>
      <c r="J62" s="2579"/>
      <c r="K62" s="3036">
        <v>270342.5</v>
      </c>
      <c r="L62" s="1039"/>
      <c r="M62" s="2579">
        <f>ROUND(SUM(C62)-SUM(K62)+SUM(G62),2)</f>
        <v>3468694.6</v>
      </c>
      <c r="N62" s="1039"/>
      <c r="O62" s="2644"/>
      <c r="P62" s="1039"/>
      <c r="Q62" s="1376">
        <v>53534.09</v>
      </c>
      <c r="R62" s="2579"/>
      <c r="S62" s="1376">
        <v>53534.09</v>
      </c>
      <c r="T62" s="1028"/>
      <c r="U62" s="1376"/>
      <c r="V62" s="1246"/>
      <c r="W62" s="1247"/>
    </row>
    <row r="63" spans="1:23">
      <c r="A63" s="1024" t="s">
        <v>421</v>
      </c>
      <c r="C63" s="2579">
        <v>0</v>
      </c>
      <c r="D63" s="2579"/>
      <c r="E63" s="1376">
        <v>0</v>
      </c>
      <c r="F63" s="2579"/>
      <c r="G63" s="2579">
        <f t="shared" si="12"/>
        <v>0</v>
      </c>
      <c r="H63" s="1039"/>
      <c r="I63" s="3036">
        <v>0</v>
      </c>
      <c r="J63" s="2579"/>
      <c r="K63" s="3036">
        <v>0</v>
      </c>
      <c r="L63" s="1039"/>
      <c r="M63" s="2579">
        <f>ROUND(SUM(C63)-SUM(K63)+SUM(G63),2)</f>
        <v>0</v>
      </c>
      <c r="N63" s="1039"/>
      <c r="O63" s="2644"/>
      <c r="P63" s="1039"/>
      <c r="Q63" s="1376">
        <v>0</v>
      </c>
      <c r="R63" s="2579"/>
      <c r="S63" s="1376">
        <v>0</v>
      </c>
      <c r="T63" s="1028"/>
      <c r="U63" s="1376"/>
      <c r="V63" s="1246"/>
      <c r="W63" s="1247"/>
    </row>
    <row r="64" spans="1:23">
      <c r="B64" s="1039"/>
      <c r="C64" s="2646"/>
      <c r="D64" s="2646"/>
      <c r="E64" s="2500"/>
      <c r="F64" s="2581"/>
      <c r="G64" s="2647"/>
      <c r="H64" s="1039"/>
      <c r="I64" s="2648"/>
      <c r="J64" s="1039"/>
      <c r="K64" s="2649"/>
      <c r="L64" s="1039"/>
      <c r="M64" s="2650"/>
      <c r="N64" s="1039"/>
      <c r="O64" s="2644"/>
      <c r="P64" s="1039"/>
      <c r="Q64" s="2648"/>
      <c r="R64" s="1039"/>
      <c r="S64" s="2649"/>
      <c r="T64" s="1034"/>
    </row>
    <row r="65" spans="1:23" ht="15" customHeight="1" thickBot="1">
      <c r="A65" s="1026" t="s">
        <v>422</v>
      </c>
      <c r="B65" s="2651"/>
      <c r="C65" s="2652">
        <f>ROUND(SUM(C16:C63),2)</f>
        <v>2371384999.46</v>
      </c>
      <c r="D65" s="3533"/>
      <c r="E65" s="2652">
        <f>ROUND(SUM(E16:E64),2)</f>
        <v>0</v>
      </c>
      <c r="F65" s="1025"/>
      <c r="G65" s="2652">
        <f>ROUND(SUM(G16:G63),2)</f>
        <v>0</v>
      </c>
      <c r="H65" s="2651"/>
      <c r="I65" s="2652">
        <f>ROUND(SUM(I16:I63),2)</f>
        <v>34720000</v>
      </c>
      <c r="J65" s="2651"/>
      <c r="K65" s="2652">
        <f>ROUND(SUM(K16:K63),2)</f>
        <v>34720000</v>
      </c>
      <c r="L65" s="2651"/>
      <c r="M65" s="2652">
        <f>ROUND(SUM(M16:M63),2)</f>
        <v>2336664999.46</v>
      </c>
      <c r="N65" s="2653"/>
      <c r="O65" s="2654"/>
      <c r="P65" s="2651"/>
      <c r="Q65" s="2652">
        <f>ROUND(SUM(Q16:Q63),2)</f>
        <v>4037171.89</v>
      </c>
      <c r="R65" s="2651"/>
      <c r="S65" s="2652">
        <f>ROUND(SUM(S16:S63),2)</f>
        <v>4037171.89</v>
      </c>
      <c r="T65" s="2655"/>
      <c r="U65" s="3533"/>
      <c r="V65" s="1339"/>
      <c r="W65" s="1339"/>
    </row>
    <row r="66" spans="1:23" ht="15" customHeight="1" thickTop="1">
      <c r="A66" s="2656"/>
      <c r="B66" s="2657"/>
      <c r="C66" s="2655"/>
      <c r="D66" s="2655"/>
      <c r="E66" s="2658"/>
      <c r="F66" s="2659"/>
      <c r="G66" s="2658"/>
      <c r="H66" s="2657"/>
      <c r="I66" s="2655"/>
      <c r="J66" s="2657"/>
      <c r="K66" s="2660"/>
      <c r="L66" s="2657"/>
      <c r="M66" s="1517"/>
      <c r="N66" s="1026"/>
      <c r="O66" s="1026"/>
      <c r="P66" s="2657"/>
      <c r="Q66" s="2660"/>
      <c r="R66" s="2657"/>
      <c r="S66" s="2655"/>
      <c r="U66" s="1340"/>
      <c r="V66" s="1340"/>
      <c r="W66" s="1340"/>
    </row>
    <row r="67" spans="1:23">
      <c r="A67" s="2661"/>
      <c r="B67" s="1034"/>
      <c r="C67" s="1034"/>
      <c r="D67" s="1034"/>
      <c r="E67" s="1034"/>
      <c r="F67" s="1341"/>
      <c r="H67" s="1039"/>
      <c r="I67" s="1024"/>
      <c r="J67" s="1039"/>
      <c r="K67" s="1024"/>
      <c r="L67" s="1039"/>
      <c r="N67" s="1034"/>
      <c r="P67" s="1248"/>
    </row>
    <row r="68" spans="1:23">
      <c r="A68" s="1248"/>
      <c r="C68" s="1034"/>
      <c r="D68" s="1034"/>
      <c r="E68" s="1341"/>
      <c r="F68" s="1342"/>
      <c r="G68" s="1034"/>
      <c r="H68" s="1246"/>
      <c r="I68" s="1039"/>
      <c r="J68" s="1246"/>
      <c r="K68" s="1039"/>
      <c r="L68" s="1247"/>
      <c r="O68" s="1034"/>
      <c r="P68" s="1247"/>
      <c r="Q68" s="3107"/>
      <c r="R68" s="1028"/>
      <c r="S68" s="3107"/>
    </row>
    <row r="69" spans="1:23">
      <c r="A69" s="1040"/>
      <c r="E69" s="2662"/>
      <c r="G69" s="1038"/>
      <c r="I69" s="1030"/>
      <c r="K69" s="1030"/>
      <c r="Q69" s="1028"/>
      <c r="S69" s="1028"/>
      <c r="T69" s="1027"/>
    </row>
    <row r="70" spans="1:23">
      <c r="E70" s="1039"/>
      <c r="G70" s="1039"/>
      <c r="M70" s="1376"/>
      <c r="O70" s="1034"/>
      <c r="Q70" s="1248"/>
    </row>
    <row r="71" spans="1:23">
      <c r="C71" s="1028"/>
      <c r="D71" s="1028"/>
      <c r="E71" s="1029"/>
      <c r="G71" s="1029"/>
      <c r="I71" s="1030"/>
      <c r="K71" s="1030"/>
      <c r="M71" s="1031"/>
      <c r="O71" s="1034"/>
      <c r="Q71" s="1035"/>
      <c r="S71" s="1028"/>
    </row>
    <row r="72" spans="1:23">
      <c r="C72" s="1028"/>
      <c r="D72" s="1028"/>
      <c r="E72" s="1029"/>
      <c r="G72" s="1247"/>
      <c r="I72" s="1030"/>
      <c r="K72" s="1030"/>
      <c r="M72" s="1518"/>
      <c r="O72" s="1034"/>
      <c r="Q72" s="1247"/>
      <c r="S72" s="1028"/>
    </row>
    <row r="73" spans="1:23">
      <c r="C73" s="1028"/>
      <c r="D73" s="1028"/>
      <c r="E73" s="1029"/>
      <c r="G73" s="1245"/>
      <c r="I73" s="1030"/>
      <c r="K73" s="1030"/>
      <c r="M73" s="1376"/>
      <c r="O73" s="1034"/>
      <c r="Q73" s="1338"/>
      <c r="S73" s="1028"/>
    </row>
    <row r="74" spans="1:23">
      <c r="C74" s="1028"/>
      <c r="D74" s="1028"/>
      <c r="E74" s="1029"/>
      <c r="G74" s="1029"/>
      <c r="I74" s="1030"/>
      <c r="K74" s="1030"/>
      <c r="M74" s="1031"/>
      <c r="O74" s="1034"/>
      <c r="Q74" s="1035"/>
      <c r="S74" s="1028"/>
      <c r="T74" s="1027"/>
    </row>
    <row r="75" spans="1:23">
      <c r="C75" s="1028"/>
      <c r="D75" s="1028"/>
      <c r="E75" s="1029"/>
      <c r="G75" s="1029"/>
      <c r="I75" s="1030"/>
      <c r="K75" s="1030"/>
      <c r="M75" s="1031"/>
      <c r="O75" s="1034"/>
      <c r="Q75" s="1035"/>
      <c r="S75" s="1028"/>
    </row>
    <row r="76" spans="1:23">
      <c r="C76" s="1028"/>
      <c r="D76" s="1028"/>
      <c r="E76" s="1029"/>
      <c r="G76" s="1247"/>
      <c r="I76" s="1030"/>
      <c r="K76" s="1030"/>
      <c r="M76" s="1518"/>
      <c r="O76" s="1034"/>
      <c r="Q76" s="1247"/>
      <c r="S76" s="1028"/>
    </row>
    <row r="77" spans="1:23">
      <c r="C77" s="1028"/>
      <c r="D77" s="1028"/>
      <c r="E77" s="1029"/>
      <c r="G77" s="1245"/>
      <c r="I77" s="1030"/>
      <c r="K77" s="1030"/>
      <c r="M77" s="1376"/>
      <c r="O77" s="1034"/>
      <c r="Q77" s="1338"/>
      <c r="S77" s="1028"/>
    </row>
    <row r="78" spans="1:23">
      <c r="B78" s="1034"/>
      <c r="C78" s="1343"/>
      <c r="D78" s="1343"/>
      <c r="E78" s="1344"/>
      <c r="F78" s="1034"/>
      <c r="G78" s="1344"/>
      <c r="H78" s="1034"/>
      <c r="I78" s="1345"/>
      <c r="J78" s="1034"/>
      <c r="K78" s="1345"/>
      <c r="L78" s="1034"/>
      <c r="M78" s="1519"/>
      <c r="N78" s="1034"/>
      <c r="O78" s="1034"/>
      <c r="P78" s="1034"/>
      <c r="Q78" s="1346"/>
      <c r="R78" s="1034"/>
      <c r="S78" s="1343"/>
    </row>
    <row r="79" spans="1:23">
      <c r="A79" s="1034"/>
      <c r="B79" s="1034"/>
      <c r="C79" s="1033"/>
      <c r="D79" s="1033"/>
      <c r="E79" s="1347"/>
      <c r="F79" s="1032"/>
      <c r="G79" s="1347"/>
      <c r="H79" s="1032"/>
      <c r="I79" s="1036"/>
      <c r="J79" s="1032"/>
      <c r="K79" s="1036"/>
      <c r="L79" s="1032"/>
      <c r="M79" s="1520"/>
      <c r="N79" s="1032"/>
      <c r="O79" s="1032"/>
      <c r="P79" s="1032"/>
      <c r="Q79" s="1347"/>
      <c r="R79" s="1032"/>
      <c r="S79" s="1033"/>
    </row>
    <row r="80" spans="1:23">
      <c r="A80" s="1032"/>
      <c r="C80" s="1340"/>
      <c r="D80" s="1340"/>
      <c r="E80" s="1340"/>
      <c r="F80" s="1026"/>
      <c r="G80" s="1340"/>
      <c r="H80" s="1026"/>
      <c r="I80" s="1337"/>
      <c r="J80" s="1026"/>
      <c r="K80" s="1337"/>
      <c r="L80" s="1026"/>
      <c r="M80" s="1517"/>
      <c r="N80" s="1026"/>
      <c r="O80" s="1026"/>
      <c r="P80" s="1026"/>
      <c r="Q80" s="1340"/>
      <c r="R80" s="1026"/>
      <c r="S80" s="1340"/>
    </row>
    <row r="81" spans="1:13">
      <c r="A81" s="1026"/>
    </row>
    <row r="82" spans="1:13">
      <c r="C82" s="1248"/>
      <c r="D82" s="1248"/>
    </row>
    <row r="83" spans="1:13">
      <c r="C83" s="1040"/>
      <c r="D83" s="1040"/>
      <c r="E83" s="1341"/>
      <c r="F83" s="1034"/>
      <c r="G83" s="1341"/>
      <c r="H83" s="1034"/>
      <c r="I83" s="1037"/>
      <c r="J83" s="1034"/>
      <c r="K83" s="1037"/>
      <c r="L83" s="1034"/>
      <c r="M83" s="1521"/>
    </row>
    <row r="84" spans="1:13">
      <c r="E84" s="2581"/>
      <c r="G84" s="1249"/>
    </row>
    <row r="85" spans="1:13">
      <c r="E85" s="2663"/>
      <c r="G85" s="1038"/>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6" firstPageNumber="44" orientation="landscape" useFirstPageNumber="1" r:id="rId2"/>
  <headerFooter scaleWithDoc="0" alignWithMargins="0">
    <oddFooter>&amp;C&amp;8&amp;P</oddFooter>
  </headerFooter>
  <rowBreaks count="1" manualBreakCount="1">
    <brk id="2" max="21" man="1"/>
  </rowBreaks>
  <colBreaks count="1" manualBreakCount="1">
    <brk id="15" min="2" max="64"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showGridLines="0" zoomScale="70" zoomScaleNormal="80" workbookViewId="0"/>
  </sheetViews>
  <sheetFormatPr defaultColWidth="8.88671875" defaultRowHeight="12.75"/>
  <cols>
    <col min="1" max="1" width="3.77734375" style="2664" customWidth="1"/>
    <col min="2" max="2" width="43.88671875" style="2664" customWidth="1"/>
    <col min="3" max="3" width="2.109375" style="2664" customWidth="1"/>
    <col min="4" max="4" width="13.77734375" style="2664" customWidth="1"/>
    <col min="5" max="5" width="2.109375" style="2664" customWidth="1"/>
    <col min="6" max="6" width="24" style="2664" bestFit="1" customWidth="1"/>
    <col min="7" max="7" width="2.109375" style="2664" customWidth="1"/>
    <col min="8" max="8" width="20.33203125" style="2664" customWidth="1"/>
    <col min="9" max="9" width="2.109375" style="2664" customWidth="1"/>
    <col min="10" max="10" width="17.88671875" style="2664" bestFit="1" customWidth="1"/>
    <col min="11" max="11" width="2.109375" style="2664" customWidth="1"/>
    <col min="12" max="12" width="17.88671875" style="2664" bestFit="1" customWidth="1"/>
    <col min="13" max="13" width="2.109375" style="2664" customWidth="1"/>
    <col min="14" max="14" width="19.88671875" style="2664" bestFit="1" customWidth="1"/>
    <col min="15" max="15" width="2.109375" style="2664" customWidth="1"/>
    <col min="16" max="16" width="18.44140625" style="2664" bestFit="1" customWidth="1"/>
    <col min="17" max="17" width="2.109375" style="2664" customWidth="1"/>
    <col min="18" max="18" width="19.6640625" style="2664" customWidth="1"/>
    <col min="19" max="19" width="2.109375" style="2664" customWidth="1"/>
    <col min="20" max="20" width="19.88671875" style="2664" bestFit="1" customWidth="1"/>
    <col min="21" max="21" width="2.109375" style="2664" customWidth="1"/>
    <col min="22" max="22" width="20.88671875" style="2664" bestFit="1" customWidth="1"/>
    <col min="23" max="23" width="17.109375" style="2664" customWidth="1"/>
    <col min="24" max="24" width="18.5546875" style="2664" customWidth="1"/>
    <col min="25" max="25" width="35.33203125" style="2664" bestFit="1" customWidth="1"/>
    <col min="26" max="16384" width="8.88671875" style="2664"/>
  </cols>
  <sheetData>
    <row r="1" spans="1:23" ht="15">
      <c r="B1" s="1602" t="s">
        <v>1064</v>
      </c>
    </row>
    <row r="2" spans="1:23" ht="16.5">
      <c r="B2" s="3393"/>
      <c r="C2" s="3393"/>
      <c r="D2" s="3393"/>
      <c r="E2" s="3393"/>
      <c r="F2" s="3393"/>
      <c r="G2" s="3393"/>
      <c r="H2" s="3393"/>
      <c r="I2" s="3393"/>
      <c r="J2" s="3393"/>
      <c r="K2" s="3393"/>
      <c r="L2" s="3393"/>
      <c r="M2" s="3393"/>
      <c r="N2" s="3393"/>
      <c r="O2" s="3393"/>
      <c r="P2" s="3393"/>
      <c r="Q2" s="3393"/>
      <c r="R2" s="3393"/>
      <c r="S2" s="3393"/>
      <c r="T2" s="3393"/>
      <c r="U2" s="3393"/>
      <c r="V2" s="3393"/>
      <c r="W2" s="3394"/>
    </row>
    <row r="3" spans="1:23" ht="18">
      <c r="A3" s="2665"/>
      <c r="B3" s="3395" t="s">
        <v>0</v>
      </c>
      <c r="C3" s="3396"/>
      <c r="D3" s="3396"/>
      <c r="E3" s="3396"/>
      <c r="F3" s="3393"/>
      <c r="G3" s="3393"/>
      <c r="H3" s="3393"/>
      <c r="I3" s="3393"/>
      <c r="J3" s="3393"/>
      <c r="K3" s="3393"/>
      <c r="L3" s="3393"/>
      <c r="M3" s="3393"/>
      <c r="N3" s="3393"/>
      <c r="O3" s="3393"/>
      <c r="P3" s="3393"/>
      <c r="Q3" s="3393"/>
      <c r="R3" s="3393"/>
      <c r="S3" s="3393"/>
      <c r="T3" s="3393"/>
      <c r="U3" s="3393"/>
      <c r="V3" s="3397" t="s">
        <v>423</v>
      </c>
      <c r="W3" s="3398"/>
    </row>
    <row r="4" spans="1:23" ht="18">
      <c r="A4" s="2665"/>
      <c r="B4" s="3395" t="s">
        <v>424</v>
      </c>
      <c r="C4" s="3396"/>
      <c r="D4" s="3396"/>
      <c r="E4" s="3396"/>
      <c r="F4" s="3393"/>
      <c r="G4" s="3393"/>
      <c r="H4" s="3393"/>
      <c r="I4" s="3393"/>
      <c r="J4" s="3393"/>
      <c r="K4" s="3393"/>
      <c r="L4" s="3393"/>
      <c r="M4" s="3393"/>
      <c r="N4" s="3393"/>
      <c r="O4" s="3393"/>
      <c r="P4" s="3393"/>
      <c r="Q4" s="3393"/>
      <c r="R4" s="3393"/>
      <c r="S4" s="3393"/>
      <c r="T4" s="3393"/>
      <c r="U4" s="3393"/>
      <c r="V4" s="3399"/>
      <c r="W4" s="3394"/>
    </row>
    <row r="5" spans="1:23" ht="18">
      <c r="A5" s="2665"/>
      <c r="B5" s="3395" t="s">
        <v>425</v>
      </c>
      <c r="C5" s="3396"/>
      <c r="D5" s="3396"/>
      <c r="E5" s="3396"/>
      <c r="F5" s="3393"/>
      <c r="G5" s="3393"/>
      <c r="H5" s="3393"/>
      <c r="I5" s="3393"/>
      <c r="J5" s="3393"/>
      <c r="K5" s="3393"/>
      <c r="L5" s="3393"/>
      <c r="M5" s="3393"/>
      <c r="N5" s="3393"/>
      <c r="O5" s="3393"/>
      <c r="P5" s="3393"/>
      <c r="Q5" s="3393"/>
      <c r="R5" s="3393"/>
      <c r="S5" s="3393"/>
      <c r="T5" s="3393"/>
      <c r="U5" s="3393"/>
      <c r="V5" s="3393"/>
      <c r="W5" s="3394"/>
    </row>
    <row r="6" spans="1:23" ht="18">
      <c r="A6" s="2665"/>
      <c r="B6" s="3400" t="s">
        <v>1472</v>
      </c>
      <c r="C6" s="3401"/>
      <c r="D6" s="3396"/>
      <c r="E6" s="3396"/>
      <c r="F6" s="3393"/>
      <c r="G6" s="3393"/>
      <c r="H6" s="3393"/>
      <c r="I6" s="3393"/>
      <c r="J6" s="3393"/>
      <c r="K6" s="3393"/>
      <c r="L6" s="3393"/>
      <c r="M6" s="3393"/>
      <c r="N6" s="3393"/>
      <c r="O6" s="3393"/>
      <c r="P6" s="3393"/>
      <c r="Q6" s="3393"/>
      <c r="R6" s="3393"/>
      <c r="S6" s="3393"/>
      <c r="T6" s="3393"/>
      <c r="U6" s="3393"/>
      <c r="V6" s="3393"/>
      <c r="W6" s="3394"/>
    </row>
    <row r="7" spans="1:23" ht="16.5">
      <c r="A7" s="2665"/>
      <c r="B7" s="3402"/>
      <c r="C7" s="3402"/>
      <c r="D7" s="3396"/>
      <c r="E7" s="3396"/>
      <c r="F7" s="3393"/>
      <c r="G7" s="3393"/>
      <c r="H7" s="3393"/>
      <c r="I7" s="3393"/>
      <c r="J7" s="3393"/>
      <c r="K7" s="3393"/>
      <c r="L7" s="3393"/>
      <c r="M7" s="3393"/>
      <c r="N7" s="3393"/>
      <c r="O7" s="3393"/>
      <c r="P7" s="3393"/>
      <c r="Q7" s="3393"/>
      <c r="R7" s="3393"/>
      <c r="S7" s="3393"/>
      <c r="T7" s="3393"/>
      <c r="U7" s="3393"/>
      <c r="V7" s="3393"/>
      <c r="W7" s="3394"/>
    </row>
    <row r="8" spans="1:23" ht="5.25" customHeight="1">
      <c r="B8" s="3403"/>
      <c r="C8" s="3403"/>
      <c r="D8" s="3393"/>
      <c r="E8" s="3393"/>
      <c r="F8" s="3393"/>
      <c r="G8" s="3393"/>
      <c r="H8" s="3393"/>
      <c r="I8" s="3393"/>
      <c r="J8" s="3393"/>
      <c r="K8" s="3393"/>
      <c r="L8" s="3393"/>
      <c r="M8" s="3393"/>
      <c r="N8" s="3393"/>
      <c r="O8" s="3393"/>
      <c r="P8" s="3393"/>
      <c r="Q8" s="3393"/>
      <c r="R8" s="3393"/>
      <c r="S8" s="3393"/>
      <c r="T8" s="3393"/>
      <c r="U8" s="3393"/>
      <c r="V8" s="3393"/>
      <c r="W8" s="3394"/>
    </row>
    <row r="9" spans="1:23" ht="16.5">
      <c r="B9" s="3393"/>
      <c r="C9" s="3393"/>
      <c r="E9" s="3404"/>
      <c r="F9" s="3404"/>
      <c r="G9" s="3404"/>
      <c r="H9" s="3404"/>
      <c r="I9" s="3404"/>
      <c r="J9" s="3404" t="s">
        <v>426</v>
      </c>
      <c r="K9" s="3404"/>
      <c r="L9" s="3404"/>
      <c r="M9" s="3404"/>
      <c r="N9" s="3404"/>
      <c r="O9" s="3404"/>
      <c r="P9" s="3404"/>
      <c r="Q9" s="3404"/>
      <c r="R9" s="3393"/>
      <c r="S9" s="3393"/>
      <c r="T9" s="3393"/>
      <c r="U9" s="3393"/>
      <c r="V9" s="3393"/>
      <c r="W9" s="3394"/>
    </row>
    <row r="10" spans="1:23" ht="16.5">
      <c r="B10" s="3393"/>
      <c r="C10" s="3393"/>
      <c r="D10" s="3404" t="s">
        <v>123</v>
      </c>
      <c r="E10" s="3405"/>
      <c r="F10" s="3405" t="s">
        <v>106</v>
      </c>
      <c r="G10" s="3405"/>
      <c r="H10" s="3405" t="s">
        <v>428</v>
      </c>
      <c r="I10" s="3405"/>
      <c r="J10" s="3405" t="s">
        <v>429</v>
      </c>
      <c r="K10" s="3405"/>
      <c r="L10" s="3405" t="s">
        <v>430</v>
      </c>
      <c r="M10" s="3405"/>
      <c r="N10" s="3405" t="s">
        <v>10</v>
      </c>
      <c r="O10" s="3405"/>
      <c r="P10" s="3405" t="s">
        <v>976</v>
      </c>
      <c r="Q10" s="3405"/>
      <c r="R10" s="3393"/>
      <c r="S10" s="3393"/>
      <c r="T10" s="3393"/>
      <c r="U10" s="3393"/>
      <c r="V10" s="3393"/>
      <c r="W10" s="3394"/>
    </row>
    <row r="11" spans="1:23" ht="16.5">
      <c r="B11" s="3393"/>
      <c r="C11" s="3393"/>
      <c r="D11" s="3405" t="s">
        <v>427</v>
      </c>
      <c r="E11" s="3405"/>
      <c r="F11" s="3405" t="s">
        <v>123</v>
      </c>
      <c r="G11" s="3405"/>
      <c r="H11" s="3405" t="s">
        <v>432</v>
      </c>
      <c r="I11" s="3405"/>
      <c r="J11" s="3405" t="s">
        <v>433</v>
      </c>
      <c r="K11" s="3405"/>
      <c r="L11" s="3405" t="s">
        <v>434</v>
      </c>
      <c r="M11" s="3405"/>
      <c r="N11" s="3406" t="s">
        <v>435</v>
      </c>
      <c r="O11" s="3405"/>
      <c r="P11" s="3405" t="s">
        <v>977</v>
      </c>
      <c r="Q11" s="3405"/>
      <c r="R11" s="3408" t="s">
        <v>436</v>
      </c>
      <c r="S11" s="3408"/>
      <c r="T11" s="3408"/>
      <c r="U11" s="3393"/>
      <c r="V11" s="3393"/>
      <c r="W11" s="3394"/>
    </row>
    <row r="12" spans="1:23" ht="16.5">
      <c r="B12" s="3393"/>
      <c r="C12" s="3393"/>
      <c r="D12" s="3405" t="s">
        <v>431</v>
      </c>
      <c r="E12" s="3405"/>
      <c r="F12" s="3405" t="s">
        <v>11</v>
      </c>
      <c r="G12" s="3405"/>
      <c r="H12" s="3405" t="s">
        <v>437</v>
      </c>
      <c r="I12" s="3405"/>
      <c r="J12" s="3405" t="s">
        <v>438</v>
      </c>
      <c r="K12" s="3405"/>
      <c r="L12" s="3405" t="s">
        <v>439</v>
      </c>
      <c r="M12" s="3405"/>
      <c r="N12" s="3406" t="s">
        <v>438</v>
      </c>
      <c r="O12" s="3406"/>
      <c r="P12" s="3405" t="s">
        <v>438</v>
      </c>
      <c r="Q12" s="3405"/>
      <c r="R12" s="3407" t="s">
        <v>1486</v>
      </c>
      <c r="S12" s="3407"/>
      <c r="T12" s="3407"/>
      <c r="U12" s="3393"/>
      <c r="V12" s="3404" t="s">
        <v>978</v>
      </c>
      <c r="W12" s="3409"/>
    </row>
    <row r="13" spans="1:23" ht="16.5">
      <c r="A13" s="2666"/>
      <c r="B13" s="3410" t="s">
        <v>447</v>
      </c>
      <c r="C13" s="3411"/>
      <c r="D13" s="3412" t="s">
        <v>440</v>
      </c>
      <c r="E13" s="3409"/>
      <c r="F13" s="3412" t="s">
        <v>441</v>
      </c>
      <c r="G13" s="3409"/>
      <c r="H13" s="3413" t="s">
        <v>442</v>
      </c>
      <c r="I13" s="3409"/>
      <c r="J13" s="3413" t="s">
        <v>443</v>
      </c>
      <c r="K13" s="3409"/>
      <c r="L13" s="3413" t="s">
        <v>444</v>
      </c>
      <c r="M13" s="3409"/>
      <c r="N13" s="3414" t="s">
        <v>445</v>
      </c>
      <c r="O13" s="3409"/>
      <c r="P13" s="3414" t="s">
        <v>979</v>
      </c>
      <c r="Q13" s="3409"/>
      <c r="R13" s="3415">
        <v>2018</v>
      </c>
      <c r="S13" s="3415"/>
      <c r="T13" s="3415">
        <v>2017</v>
      </c>
      <c r="U13" s="3409"/>
      <c r="V13" s="3416" t="s">
        <v>446</v>
      </c>
      <c r="W13" s="3409"/>
    </row>
    <row r="14" spans="1:23" ht="16.5">
      <c r="B14" s="3411" t="s">
        <v>448</v>
      </c>
      <c r="C14" s="3411"/>
      <c r="D14" s="3417"/>
      <c r="E14" s="3417"/>
      <c r="F14" s="3418"/>
      <c r="G14" s="3418"/>
      <c r="H14" s="3419"/>
      <c r="I14" s="3419"/>
      <c r="J14" s="3419"/>
      <c r="K14" s="3419"/>
      <c r="L14" s="3419"/>
      <c r="M14" s="3419"/>
      <c r="N14" s="3417"/>
      <c r="O14" s="3417"/>
      <c r="P14" s="3417"/>
      <c r="Q14" s="3417"/>
      <c r="R14" s="3419"/>
      <c r="S14" s="3419"/>
      <c r="T14" s="3420"/>
      <c r="U14" s="3420"/>
      <c r="V14" s="3421"/>
      <c r="W14" s="3394"/>
    </row>
    <row r="15" spans="1:23" ht="16.5">
      <c r="A15" s="2667"/>
      <c r="B15" s="3403" t="s">
        <v>449</v>
      </c>
      <c r="C15" s="3403"/>
      <c r="D15" s="3422">
        <v>0</v>
      </c>
      <c r="E15" s="3422"/>
      <c r="F15" s="3422">
        <v>368644</v>
      </c>
      <c r="G15" s="3423"/>
      <c r="H15" s="3422">
        <v>0</v>
      </c>
      <c r="I15" s="3423"/>
      <c r="J15" s="3422">
        <v>0</v>
      </c>
      <c r="K15" s="3423"/>
      <c r="L15" s="3422">
        <v>0</v>
      </c>
      <c r="M15" s="3423"/>
      <c r="N15" s="3422">
        <v>0</v>
      </c>
      <c r="O15" s="3423"/>
      <c r="P15" s="3422">
        <v>0</v>
      </c>
      <c r="Q15" s="3423"/>
      <c r="R15" s="3422">
        <f>ROUND(SUM(D15:Q15),0)</f>
        <v>368644</v>
      </c>
      <c r="S15" s="3422"/>
      <c r="T15" s="3197">
        <v>204631</v>
      </c>
      <c r="U15" s="3423"/>
      <c r="V15" s="3424">
        <f>ROUND(R15-T15,0)</f>
        <v>164013</v>
      </c>
      <c r="W15" s="3422"/>
    </row>
    <row r="16" spans="1:23" ht="16.5">
      <c r="A16" s="2667"/>
      <c r="B16" s="3393" t="s">
        <v>450</v>
      </c>
      <c r="C16" s="3393"/>
      <c r="D16" s="3425"/>
      <c r="E16" s="3425"/>
      <c r="F16" s="3425"/>
      <c r="G16" s="3425"/>
      <c r="H16" s="3425"/>
      <c r="I16" s="3425"/>
      <c r="J16" s="3425"/>
      <c r="K16" s="3423"/>
      <c r="L16" s="3425"/>
      <c r="M16" s="3426"/>
      <c r="N16" s="3425"/>
      <c r="O16" s="3426"/>
      <c r="P16" s="3425"/>
      <c r="Q16" s="3426"/>
      <c r="R16" s="3426"/>
      <c r="S16" s="3426"/>
      <c r="T16" s="3427"/>
      <c r="U16" s="3426"/>
      <c r="V16" s="3428"/>
      <c r="W16" s="3422"/>
    </row>
    <row r="17" spans="1:23" ht="16.5">
      <c r="A17" s="2667"/>
      <c r="B17" s="3393" t="s">
        <v>1371</v>
      </c>
      <c r="C17" s="3393"/>
      <c r="D17" s="3425">
        <v>0</v>
      </c>
      <c r="E17" s="3425">
        <v>0</v>
      </c>
      <c r="F17" s="3425">
        <v>0</v>
      </c>
      <c r="G17" s="3425">
        <v>0</v>
      </c>
      <c r="H17" s="3425">
        <v>0</v>
      </c>
      <c r="I17" s="3425">
        <v>0</v>
      </c>
      <c r="J17" s="3425">
        <v>0</v>
      </c>
      <c r="K17" s="3425">
        <v>0</v>
      </c>
      <c r="L17" s="3425">
        <v>0</v>
      </c>
      <c r="M17" s="3425">
        <v>0</v>
      </c>
      <c r="N17" s="3425">
        <v>0</v>
      </c>
      <c r="O17" s="3425">
        <v>0</v>
      </c>
      <c r="P17" s="3425">
        <v>0</v>
      </c>
      <c r="Q17" s="3425">
        <v>0</v>
      </c>
      <c r="R17" s="3426">
        <f t="shared" ref="R17:R26" si="0">ROUND(SUM(D17:Q17),0)</f>
        <v>0</v>
      </c>
      <c r="S17" s="3426"/>
      <c r="T17" s="3198">
        <v>0</v>
      </c>
      <c r="U17" s="3429"/>
      <c r="V17" s="3429">
        <f t="shared" ref="V17:V26" si="1">SUM(R17-T17,0)</f>
        <v>0</v>
      </c>
      <c r="W17" s="3422"/>
    </row>
    <row r="18" spans="1:23" ht="16.5">
      <c r="A18" s="2667"/>
      <c r="B18" s="3393" t="s">
        <v>1372</v>
      </c>
      <c r="C18" s="3393"/>
      <c r="D18" s="3425">
        <v>0</v>
      </c>
      <c r="E18" s="3425">
        <v>0</v>
      </c>
      <c r="F18" s="3425">
        <v>0</v>
      </c>
      <c r="G18" s="3425">
        <v>0</v>
      </c>
      <c r="H18" s="3425">
        <v>0</v>
      </c>
      <c r="I18" s="3425">
        <v>0</v>
      </c>
      <c r="J18" s="3425">
        <v>0</v>
      </c>
      <c r="K18" s="3425">
        <v>0</v>
      </c>
      <c r="L18" s="3425">
        <v>0</v>
      </c>
      <c r="M18" s="3425">
        <v>0</v>
      </c>
      <c r="N18" s="3425">
        <v>0</v>
      </c>
      <c r="O18" s="3425"/>
      <c r="P18" s="3425">
        <v>0</v>
      </c>
      <c r="Q18" s="3425">
        <v>0</v>
      </c>
      <c r="R18" s="3426">
        <f t="shared" si="0"/>
        <v>0</v>
      </c>
      <c r="S18" s="3426"/>
      <c r="T18" s="3425">
        <v>0</v>
      </c>
      <c r="U18" s="3429"/>
      <c r="V18" s="3429">
        <f t="shared" si="1"/>
        <v>0</v>
      </c>
      <c r="W18" s="3422"/>
    </row>
    <row r="19" spans="1:23" ht="16.5">
      <c r="A19" s="2667"/>
      <c r="B19" s="3393" t="s">
        <v>451</v>
      </c>
      <c r="C19" s="3393"/>
      <c r="D19" s="3425">
        <v>0</v>
      </c>
      <c r="E19" s="3425">
        <v>0</v>
      </c>
      <c r="F19" s="3425">
        <v>0</v>
      </c>
      <c r="G19" s="3425">
        <v>0</v>
      </c>
      <c r="H19" s="3425">
        <v>0</v>
      </c>
      <c r="I19" s="3425">
        <v>0</v>
      </c>
      <c r="J19" s="3425">
        <v>0</v>
      </c>
      <c r="K19" s="3425">
        <v>0</v>
      </c>
      <c r="L19" s="3425">
        <v>0</v>
      </c>
      <c r="M19" s="3425">
        <v>0</v>
      </c>
      <c r="N19" s="3425">
        <v>0</v>
      </c>
      <c r="O19" s="3425"/>
      <c r="P19" s="3425">
        <v>0</v>
      </c>
      <c r="Q19" s="3425">
        <v>0</v>
      </c>
      <c r="R19" s="3426">
        <f>ROUND(SUM(D19:Q19),0)</f>
        <v>0</v>
      </c>
      <c r="S19" s="3426"/>
      <c r="T19" s="3425">
        <v>0</v>
      </c>
      <c r="U19" s="3429"/>
      <c r="V19" s="3429">
        <f t="shared" si="1"/>
        <v>0</v>
      </c>
      <c r="W19" s="3422"/>
    </row>
    <row r="20" spans="1:23" ht="16.5">
      <c r="A20" s="2667"/>
      <c r="B20" s="3393" t="s">
        <v>1089</v>
      </c>
      <c r="C20" s="3393"/>
      <c r="D20" s="3425">
        <v>0</v>
      </c>
      <c r="E20" s="3425">
        <v>0</v>
      </c>
      <c r="F20" s="3425">
        <v>0</v>
      </c>
      <c r="G20" s="3425">
        <v>0</v>
      </c>
      <c r="H20" s="3425">
        <v>0</v>
      </c>
      <c r="I20" s="3425">
        <v>0</v>
      </c>
      <c r="J20" s="3425">
        <v>0</v>
      </c>
      <c r="K20" s="3425">
        <v>0</v>
      </c>
      <c r="L20" s="3425">
        <v>0</v>
      </c>
      <c r="M20" s="3425">
        <v>0</v>
      </c>
      <c r="N20" s="3425">
        <v>0</v>
      </c>
      <c r="O20" s="3425"/>
      <c r="P20" s="3425">
        <v>0</v>
      </c>
      <c r="Q20" s="3425">
        <v>0</v>
      </c>
      <c r="R20" s="3426">
        <f t="shared" si="0"/>
        <v>0</v>
      </c>
      <c r="S20" s="3426"/>
      <c r="T20" s="3425">
        <v>0</v>
      </c>
      <c r="U20" s="3430"/>
      <c r="V20" s="3429">
        <f t="shared" si="1"/>
        <v>0</v>
      </c>
      <c r="W20" s="3422"/>
    </row>
    <row r="21" spans="1:23" ht="16.5">
      <c r="A21" s="2667"/>
      <c r="B21" s="3393" t="s">
        <v>917</v>
      </c>
      <c r="C21" s="3393"/>
      <c r="D21" s="3425">
        <v>0</v>
      </c>
      <c r="E21" s="3425">
        <v>0</v>
      </c>
      <c r="F21" s="3425">
        <v>0</v>
      </c>
      <c r="G21" s="3425">
        <v>0</v>
      </c>
      <c r="H21" s="3425">
        <v>0</v>
      </c>
      <c r="I21" s="3425">
        <v>0</v>
      </c>
      <c r="J21" s="3425">
        <v>0</v>
      </c>
      <c r="K21" s="3425">
        <v>0</v>
      </c>
      <c r="L21" s="3425">
        <v>0</v>
      </c>
      <c r="M21" s="3425">
        <v>0</v>
      </c>
      <c r="N21" s="3425">
        <v>0</v>
      </c>
      <c r="O21" s="3425"/>
      <c r="P21" s="3425">
        <v>0</v>
      </c>
      <c r="Q21" s="3425">
        <v>0</v>
      </c>
      <c r="R21" s="3426">
        <f t="shared" si="0"/>
        <v>0</v>
      </c>
      <c r="S21" s="3426"/>
      <c r="T21" s="3425">
        <v>0</v>
      </c>
      <c r="U21" s="3430"/>
      <c r="V21" s="3429">
        <f t="shared" si="1"/>
        <v>0</v>
      </c>
      <c r="W21" s="3422"/>
    </row>
    <row r="22" spans="1:23" ht="16.5">
      <c r="A22" s="2667"/>
      <c r="B22" s="3393" t="s">
        <v>1373</v>
      </c>
      <c r="C22" s="3393"/>
      <c r="D22" s="3425">
        <v>0</v>
      </c>
      <c r="E22" s="3425">
        <v>0</v>
      </c>
      <c r="F22" s="3425">
        <v>0</v>
      </c>
      <c r="G22" s="3425">
        <v>0</v>
      </c>
      <c r="H22" s="3425">
        <v>0</v>
      </c>
      <c r="I22" s="3425">
        <v>0</v>
      </c>
      <c r="J22" s="3425">
        <v>0</v>
      </c>
      <c r="K22" s="3425">
        <v>0</v>
      </c>
      <c r="L22" s="3425">
        <v>0</v>
      </c>
      <c r="M22" s="3425">
        <v>0</v>
      </c>
      <c r="N22" s="3425">
        <v>0</v>
      </c>
      <c r="O22" s="3425"/>
      <c r="P22" s="3425">
        <v>0</v>
      </c>
      <c r="Q22" s="3425">
        <v>0</v>
      </c>
      <c r="R22" s="3426">
        <f t="shared" si="0"/>
        <v>0</v>
      </c>
      <c r="S22" s="3426"/>
      <c r="T22" s="3425">
        <v>0</v>
      </c>
      <c r="U22" s="3429"/>
      <c r="V22" s="3429">
        <f t="shared" si="1"/>
        <v>0</v>
      </c>
      <c r="W22" s="3422"/>
    </row>
    <row r="23" spans="1:23" ht="16.5">
      <c r="A23" s="2667"/>
      <c r="B23" s="3393" t="s">
        <v>1374</v>
      </c>
      <c r="C23" s="3393"/>
      <c r="D23" s="3425">
        <v>0</v>
      </c>
      <c r="E23" s="3425">
        <v>0</v>
      </c>
      <c r="F23" s="3425">
        <v>0</v>
      </c>
      <c r="G23" s="3425">
        <v>0</v>
      </c>
      <c r="H23" s="3425">
        <v>0</v>
      </c>
      <c r="I23" s="3425">
        <v>0</v>
      </c>
      <c r="J23" s="3425">
        <v>0</v>
      </c>
      <c r="K23" s="3425">
        <v>0</v>
      </c>
      <c r="L23" s="3425">
        <v>0</v>
      </c>
      <c r="M23" s="3425">
        <v>0</v>
      </c>
      <c r="N23" s="3425">
        <v>0</v>
      </c>
      <c r="O23" s="3425"/>
      <c r="P23" s="3425">
        <v>0</v>
      </c>
      <c r="Q23" s="3425">
        <v>0</v>
      </c>
      <c r="R23" s="3426">
        <f t="shared" si="0"/>
        <v>0</v>
      </c>
      <c r="S23" s="3426"/>
      <c r="T23" s="3425">
        <v>0</v>
      </c>
      <c r="U23" s="3429"/>
      <c r="V23" s="3429">
        <f t="shared" si="1"/>
        <v>0</v>
      </c>
      <c r="W23" s="3422"/>
    </row>
    <row r="24" spans="1:23" ht="16.5">
      <c r="A24" s="2667"/>
      <c r="B24" s="3393" t="s">
        <v>452</v>
      </c>
      <c r="C24" s="3393"/>
      <c r="D24" s="3425">
        <v>0</v>
      </c>
      <c r="E24" s="3425">
        <v>0</v>
      </c>
      <c r="F24" s="3425">
        <v>0</v>
      </c>
      <c r="G24" s="3425">
        <v>0</v>
      </c>
      <c r="H24" s="3425">
        <v>0</v>
      </c>
      <c r="I24" s="3425">
        <v>0</v>
      </c>
      <c r="J24" s="3425">
        <v>0</v>
      </c>
      <c r="K24" s="3425">
        <v>0</v>
      </c>
      <c r="L24" s="3425">
        <v>0</v>
      </c>
      <c r="M24" s="3425">
        <v>0</v>
      </c>
      <c r="N24" s="3425">
        <v>0</v>
      </c>
      <c r="O24" s="3425"/>
      <c r="P24" s="3425">
        <v>0</v>
      </c>
      <c r="Q24" s="3425">
        <v>0</v>
      </c>
      <c r="R24" s="3426">
        <f t="shared" si="0"/>
        <v>0</v>
      </c>
      <c r="S24" s="3426"/>
      <c r="T24" s="3198">
        <v>0</v>
      </c>
      <c r="U24" s="3429"/>
      <c r="V24" s="3429">
        <f t="shared" si="1"/>
        <v>0</v>
      </c>
      <c r="W24" s="3422"/>
    </row>
    <row r="25" spans="1:23" ht="16.5">
      <c r="A25" s="2667"/>
      <c r="B25" s="3393" t="s">
        <v>453</v>
      </c>
      <c r="C25" s="3393"/>
      <c r="D25" s="3425">
        <v>0</v>
      </c>
      <c r="E25" s="3425">
        <v>0</v>
      </c>
      <c r="F25" s="3425">
        <v>0</v>
      </c>
      <c r="G25" s="3425">
        <v>0</v>
      </c>
      <c r="H25" s="3425">
        <v>0</v>
      </c>
      <c r="I25" s="3425">
        <v>0</v>
      </c>
      <c r="J25" s="3425">
        <v>0</v>
      </c>
      <c r="K25" s="3425">
        <v>0</v>
      </c>
      <c r="L25" s="3425">
        <v>0</v>
      </c>
      <c r="M25" s="3425">
        <v>0</v>
      </c>
      <c r="N25" s="3425">
        <v>0</v>
      </c>
      <c r="O25" s="3425"/>
      <c r="P25" s="3425">
        <v>0</v>
      </c>
      <c r="Q25" s="3425">
        <v>0</v>
      </c>
      <c r="R25" s="3426">
        <f t="shared" si="0"/>
        <v>0</v>
      </c>
      <c r="S25" s="3426"/>
      <c r="T25" s="3198">
        <v>0</v>
      </c>
      <c r="U25" s="3429"/>
      <c r="V25" s="3429">
        <f t="shared" si="1"/>
        <v>0</v>
      </c>
      <c r="W25" s="3422"/>
    </row>
    <row r="26" spans="1:23" ht="16.5">
      <c r="A26" s="2667"/>
      <c r="B26" s="3393" t="s">
        <v>1375</v>
      </c>
      <c r="C26" s="3393"/>
      <c r="D26" s="3425">
        <v>0</v>
      </c>
      <c r="E26" s="3425">
        <v>0</v>
      </c>
      <c r="F26" s="3425">
        <v>0</v>
      </c>
      <c r="G26" s="3425">
        <v>0</v>
      </c>
      <c r="H26" s="3425">
        <v>0</v>
      </c>
      <c r="I26" s="3425">
        <v>0</v>
      </c>
      <c r="J26" s="3425">
        <v>352537</v>
      </c>
      <c r="K26" s="3425">
        <v>0</v>
      </c>
      <c r="L26" s="3425">
        <v>0</v>
      </c>
      <c r="M26" s="3425">
        <v>0</v>
      </c>
      <c r="N26" s="3425">
        <v>0</v>
      </c>
      <c r="O26" s="3425"/>
      <c r="P26" s="3425">
        <v>0</v>
      </c>
      <c r="Q26" s="3425">
        <v>0</v>
      </c>
      <c r="R26" s="3426">
        <f t="shared" si="0"/>
        <v>352537</v>
      </c>
      <c r="S26" s="3426"/>
      <c r="T26" s="3198">
        <v>180856</v>
      </c>
      <c r="U26" s="3429"/>
      <c r="V26" s="3429">
        <f t="shared" si="1"/>
        <v>171681</v>
      </c>
      <c r="W26" s="3422"/>
    </row>
    <row r="27" spans="1:23" ht="16.5">
      <c r="A27" s="2667"/>
      <c r="B27" s="3393" t="s">
        <v>454</v>
      </c>
      <c r="C27" s="3393"/>
      <c r="D27" s="3431"/>
      <c r="E27" s="3431"/>
      <c r="F27" s="3431"/>
      <c r="G27" s="3431"/>
      <c r="H27" s="3431"/>
      <c r="I27" s="3431"/>
      <c r="J27" s="3431"/>
      <c r="K27" s="3431"/>
      <c r="L27" s="3431"/>
      <c r="M27" s="3431"/>
      <c r="N27" s="3431"/>
      <c r="O27" s="3431"/>
      <c r="P27" s="3431"/>
      <c r="Q27" s="3431"/>
      <c r="R27" s="3426"/>
      <c r="S27" s="3426"/>
      <c r="T27" s="3198"/>
      <c r="U27" s="3429"/>
      <c r="V27" s="3426"/>
      <c r="W27" s="3422"/>
    </row>
    <row r="28" spans="1:23" ht="16.5">
      <c r="A28" s="2667"/>
      <c r="B28" s="3393" t="s">
        <v>455</v>
      </c>
      <c r="C28" s="3393"/>
      <c r="D28" s="3425">
        <v>0</v>
      </c>
      <c r="E28" s="3425">
        <v>0</v>
      </c>
      <c r="F28" s="3425">
        <v>0</v>
      </c>
      <c r="G28" s="3425">
        <v>0</v>
      </c>
      <c r="H28" s="3425">
        <v>0</v>
      </c>
      <c r="I28" s="3425">
        <v>0</v>
      </c>
      <c r="J28" s="3425">
        <v>0</v>
      </c>
      <c r="K28" s="3425">
        <v>0</v>
      </c>
      <c r="L28" s="3425">
        <v>0</v>
      </c>
      <c r="M28" s="3425">
        <v>0</v>
      </c>
      <c r="N28" s="3425">
        <v>0</v>
      </c>
      <c r="O28" s="3425"/>
      <c r="P28" s="3425">
        <v>0</v>
      </c>
      <c r="Q28" s="3425">
        <v>0</v>
      </c>
      <c r="R28" s="3426">
        <f>ROUND(SUM(D28:Q28),0)</f>
        <v>0</v>
      </c>
      <c r="S28" s="3426"/>
      <c r="T28" s="3198">
        <v>0</v>
      </c>
      <c r="U28" s="3429"/>
      <c r="V28" s="3429">
        <f>SUM(R28-T28,0)</f>
        <v>0</v>
      </c>
      <c r="W28" s="3422"/>
    </row>
    <row r="29" spans="1:23" ht="16.5">
      <c r="A29" s="2667"/>
      <c r="B29" s="3393" t="s">
        <v>1037</v>
      </c>
      <c r="C29" s="3393"/>
      <c r="D29" s="3425"/>
      <c r="E29" s="3425"/>
      <c r="F29" s="3425"/>
      <c r="G29" s="3426"/>
      <c r="H29" s="3425"/>
      <c r="I29" s="3425"/>
      <c r="J29" s="3425"/>
      <c r="K29" s="3426"/>
      <c r="L29" s="3425"/>
      <c r="M29" s="3426"/>
      <c r="N29" s="3425"/>
      <c r="O29" s="3426"/>
      <c r="P29" s="3425"/>
      <c r="Q29" s="3426"/>
      <c r="R29" s="3426"/>
      <c r="S29" s="3426"/>
      <c r="T29" s="3198"/>
      <c r="U29" s="3429"/>
      <c r="V29" s="3426"/>
      <c r="W29" s="3422"/>
    </row>
    <row r="30" spans="1:23" ht="16.5">
      <c r="A30" s="2667"/>
      <c r="B30" s="3393" t="s">
        <v>1036</v>
      </c>
      <c r="C30" s="3393"/>
      <c r="D30" s="3425">
        <v>0</v>
      </c>
      <c r="E30" s="3425"/>
      <c r="F30" s="3425">
        <v>24613913</v>
      </c>
      <c r="G30" s="3426"/>
      <c r="H30" s="3425">
        <v>0</v>
      </c>
      <c r="I30" s="3425"/>
      <c r="J30" s="3425">
        <v>0</v>
      </c>
      <c r="K30" s="3426"/>
      <c r="L30" s="3425">
        <v>0</v>
      </c>
      <c r="M30" s="3426"/>
      <c r="N30" s="3425">
        <v>0</v>
      </c>
      <c r="O30" s="3426"/>
      <c r="P30" s="3425">
        <v>0</v>
      </c>
      <c r="Q30" s="3426"/>
      <c r="R30" s="3426">
        <f>ROUND(SUM(D30:Q30),0)</f>
        <v>24613913</v>
      </c>
      <c r="S30" s="3426"/>
      <c r="T30" s="3425">
        <v>27987391</v>
      </c>
      <c r="U30" s="3429"/>
      <c r="V30" s="3429">
        <f t="shared" ref="V30:V43" si="2">SUM(R30-T30,0)</f>
        <v>-3373478</v>
      </c>
      <c r="W30" s="3422"/>
    </row>
    <row r="31" spans="1:23" ht="16.5">
      <c r="A31" s="2667"/>
      <c r="B31" s="3393" t="s">
        <v>1035</v>
      </c>
      <c r="C31" s="3393"/>
      <c r="D31" s="3425">
        <v>0</v>
      </c>
      <c r="E31" s="3425">
        <v>0</v>
      </c>
      <c r="F31" s="3425">
        <v>0</v>
      </c>
      <c r="G31" s="3425">
        <v>0</v>
      </c>
      <c r="H31" s="3425">
        <v>0</v>
      </c>
      <c r="I31" s="3425">
        <v>0</v>
      </c>
      <c r="J31" s="3425">
        <v>0</v>
      </c>
      <c r="K31" s="3425">
        <v>0</v>
      </c>
      <c r="L31" s="3425">
        <v>0</v>
      </c>
      <c r="M31" s="3425">
        <v>0</v>
      </c>
      <c r="N31" s="3425">
        <v>0</v>
      </c>
      <c r="O31" s="3425"/>
      <c r="P31" s="3425">
        <v>0</v>
      </c>
      <c r="Q31" s="3425">
        <v>0</v>
      </c>
      <c r="R31" s="3426">
        <f>ROUND(SUM(D31:Q31),0)</f>
        <v>0</v>
      </c>
      <c r="S31" s="3426"/>
      <c r="T31" s="3425">
        <v>0</v>
      </c>
      <c r="U31" s="3429"/>
      <c r="V31" s="3429">
        <f t="shared" si="2"/>
        <v>0</v>
      </c>
      <c r="W31" s="3422"/>
    </row>
    <row r="32" spans="1:23" ht="16.5">
      <c r="A32" s="2667"/>
      <c r="B32" s="3393" t="s">
        <v>980</v>
      </c>
      <c r="C32" s="3393"/>
      <c r="D32" s="3425">
        <v>0</v>
      </c>
      <c r="E32" s="3425">
        <v>0</v>
      </c>
      <c r="F32" s="3425">
        <v>0</v>
      </c>
      <c r="G32" s="3425">
        <v>0</v>
      </c>
      <c r="H32" s="3425">
        <v>0</v>
      </c>
      <c r="I32" s="3425">
        <v>0</v>
      </c>
      <c r="J32" s="3425">
        <v>0</v>
      </c>
      <c r="K32" s="3425">
        <v>0</v>
      </c>
      <c r="L32" s="3425">
        <v>0</v>
      </c>
      <c r="M32" s="3425">
        <v>0</v>
      </c>
      <c r="N32" s="3425">
        <v>0</v>
      </c>
      <c r="O32" s="3425"/>
      <c r="P32" s="3425">
        <v>0</v>
      </c>
      <c r="Q32" s="3425">
        <v>0</v>
      </c>
      <c r="R32" s="3426">
        <f>ROUND(SUM(D32:Q32),0)</f>
        <v>0</v>
      </c>
      <c r="S32" s="3426"/>
      <c r="T32" s="3425">
        <v>0</v>
      </c>
      <c r="U32" s="3429"/>
      <c r="V32" s="3429">
        <f t="shared" si="2"/>
        <v>0</v>
      </c>
      <c r="W32" s="3422"/>
    </row>
    <row r="33" spans="1:25" ht="16.5">
      <c r="A33" s="2667"/>
      <c r="B33" s="3393" t="s">
        <v>456</v>
      </c>
      <c r="C33" s="3393"/>
      <c r="D33" s="3425"/>
      <c r="E33" s="3425"/>
      <c r="F33" s="3425"/>
      <c r="G33" s="3425"/>
      <c r="H33" s="3425"/>
      <c r="I33" s="3425"/>
      <c r="J33" s="3425"/>
      <c r="K33" s="3425"/>
      <c r="L33" s="3425"/>
      <c r="M33" s="3425"/>
      <c r="N33" s="3425"/>
      <c r="O33" s="3425"/>
      <c r="P33" s="3425"/>
      <c r="Q33" s="3425"/>
      <c r="R33" s="3426"/>
      <c r="S33" s="3426"/>
      <c r="T33" s="3198"/>
      <c r="U33" s="3429"/>
      <c r="V33" s="3426"/>
      <c r="W33" s="3422"/>
    </row>
    <row r="34" spans="1:25" ht="16.5">
      <c r="A34" s="2667"/>
      <c r="B34" s="3393" t="s">
        <v>457</v>
      </c>
      <c r="C34" s="3393"/>
      <c r="D34" s="3425">
        <v>0</v>
      </c>
      <c r="E34" s="3425">
        <v>0</v>
      </c>
      <c r="F34" s="3425">
        <v>0</v>
      </c>
      <c r="G34" s="3425">
        <v>0</v>
      </c>
      <c r="H34" s="3425">
        <v>0</v>
      </c>
      <c r="I34" s="3425">
        <v>0</v>
      </c>
      <c r="J34" s="3425">
        <v>0</v>
      </c>
      <c r="K34" s="3425">
        <v>0</v>
      </c>
      <c r="L34" s="3425">
        <v>0</v>
      </c>
      <c r="M34" s="3425">
        <v>0</v>
      </c>
      <c r="N34" s="3425">
        <v>0</v>
      </c>
      <c r="O34" s="3425"/>
      <c r="P34" s="3425">
        <v>0</v>
      </c>
      <c r="Q34" s="3425">
        <v>0</v>
      </c>
      <c r="R34" s="3426">
        <f t="shared" ref="R34:R39" si="3">ROUND(SUM(D34:Q34),0)</f>
        <v>0</v>
      </c>
      <c r="S34" s="3426"/>
      <c r="T34" s="3425">
        <v>0</v>
      </c>
      <c r="U34" s="3430"/>
      <c r="V34" s="3429">
        <f t="shared" si="2"/>
        <v>0</v>
      </c>
      <c r="W34" s="3422"/>
    </row>
    <row r="35" spans="1:25" ht="16.5">
      <c r="A35" s="2667"/>
      <c r="B35" s="3432" t="s">
        <v>458</v>
      </c>
      <c r="C35" s="3433"/>
      <c r="D35" s="3425">
        <v>0</v>
      </c>
      <c r="E35" s="3425">
        <v>0</v>
      </c>
      <c r="F35" s="3425">
        <v>0</v>
      </c>
      <c r="G35" s="3425">
        <v>0</v>
      </c>
      <c r="H35" s="3425">
        <v>0</v>
      </c>
      <c r="I35" s="3425">
        <v>0</v>
      </c>
      <c r="J35" s="3425">
        <v>0</v>
      </c>
      <c r="K35" s="3425">
        <v>0</v>
      </c>
      <c r="L35" s="3425">
        <v>0</v>
      </c>
      <c r="M35" s="3425">
        <v>0</v>
      </c>
      <c r="N35" s="3425">
        <v>0</v>
      </c>
      <c r="O35" s="3425"/>
      <c r="P35" s="3425">
        <v>0</v>
      </c>
      <c r="Q35" s="3425">
        <v>0</v>
      </c>
      <c r="R35" s="3426">
        <f t="shared" si="3"/>
        <v>0</v>
      </c>
      <c r="S35" s="3426"/>
      <c r="T35" s="3425">
        <v>0</v>
      </c>
      <c r="U35" s="3430"/>
      <c r="V35" s="3429">
        <f t="shared" si="2"/>
        <v>0</v>
      </c>
      <c r="W35" s="3422"/>
    </row>
    <row r="36" spans="1:25" ht="16.5">
      <c r="A36" s="2667"/>
      <c r="B36" s="3393" t="s">
        <v>1371</v>
      </c>
      <c r="C36" s="3393"/>
      <c r="D36" s="3425">
        <v>0</v>
      </c>
      <c r="E36" s="3425">
        <v>0</v>
      </c>
      <c r="F36" s="3425">
        <v>0</v>
      </c>
      <c r="G36" s="3425">
        <v>0</v>
      </c>
      <c r="H36" s="3425">
        <v>0</v>
      </c>
      <c r="I36" s="3425">
        <v>0</v>
      </c>
      <c r="J36" s="3425">
        <v>0</v>
      </c>
      <c r="K36" s="3425">
        <v>0</v>
      </c>
      <c r="L36" s="3425">
        <v>0</v>
      </c>
      <c r="M36" s="3425">
        <v>0</v>
      </c>
      <c r="N36" s="3425">
        <v>0</v>
      </c>
      <c r="O36" s="3425"/>
      <c r="P36" s="3425">
        <v>0</v>
      </c>
      <c r="Q36" s="3425">
        <v>0</v>
      </c>
      <c r="R36" s="3426">
        <f t="shared" si="3"/>
        <v>0</v>
      </c>
      <c r="S36" s="3426"/>
      <c r="T36" s="3425">
        <v>0</v>
      </c>
      <c r="U36" s="3430"/>
      <c r="V36" s="3429">
        <f t="shared" si="2"/>
        <v>0</v>
      </c>
      <c r="W36" s="3422"/>
    </row>
    <row r="37" spans="1:25" ht="16.5">
      <c r="A37" s="2667"/>
      <c r="B37" s="3432" t="s">
        <v>459</v>
      </c>
      <c r="C37" s="3433"/>
      <c r="D37" s="3425">
        <v>0</v>
      </c>
      <c r="E37" s="3425">
        <v>0</v>
      </c>
      <c r="F37" s="3425">
        <v>0</v>
      </c>
      <c r="G37" s="3425">
        <v>0</v>
      </c>
      <c r="H37" s="3425">
        <v>0</v>
      </c>
      <c r="I37" s="3425">
        <v>0</v>
      </c>
      <c r="J37" s="3425">
        <v>0</v>
      </c>
      <c r="K37" s="3425">
        <v>0</v>
      </c>
      <c r="L37" s="3425">
        <v>0</v>
      </c>
      <c r="M37" s="3425">
        <v>0</v>
      </c>
      <c r="N37" s="3425">
        <v>0</v>
      </c>
      <c r="O37" s="3425"/>
      <c r="P37" s="3425">
        <v>0</v>
      </c>
      <c r="Q37" s="3425">
        <v>0</v>
      </c>
      <c r="R37" s="3426">
        <f t="shared" si="3"/>
        <v>0</v>
      </c>
      <c r="S37" s="3426"/>
      <c r="T37" s="3425">
        <v>0</v>
      </c>
      <c r="U37" s="3429"/>
      <c r="V37" s="3429">
        <f t="shared" si="2"/>
        <v>0</v>
      </c>
      <c r="W37" s="3422"/>
    </row>
    <row r="38" spans="1:25" ht="16.5">
      <c r="A38" s="2667"/>
      <c r="B38" s="3403" t="s">
        <v>460</v>
      </c>
      <c r="C38" s="3403"/>
      <c r="D38" s="3425">
        <v>0</v>
      </c>
      <c r="E38" s="3425">
        <v>0</v>
      </c>
      <c r="F38" s="3425">
        <v>0</v>
      </c>
      <c r="G38" s="3425">
        <v>0</v>
      </c>
      <c r="H38" s="3425">
        <v>0</v>
      </c>
      <c r="I38" s="3425">
        <v>0</v>
      </c>
      <c r="J38" s="3425">
        <v>0</v>
      </c>
      <c r="K38" s="3425">
        <v>0</v>
      </c>
      <c r="L38" s="3425">
        <v>0</v>
      </c>
      <c r="M38" s="3425">
        <v>0</v>
      </c>
      <c r="N38" s="3425">
        <v>0</v>
      </c>
      <c r="O38" s="3425"/>
      <c r="P38" s="3425">
        <v>0</v>
      </c>
      <c r="Q38" s="3425">
        <v>0</v>
      </c>
      <c r="R38" s="3426">
        <f t="shared" si="3"/>
        <v>0</v>
      </c>
      <c r="S38" s="3426"/>
      <c r="T38" s="3425">
        <v>0</v>
      </c>
      <c r="U38" s="3429"/>
      <c r="V38" s="3429">
        <f t="shared" si="2"/>
        <v>0</v>
      </c>
      <c r="W38" s="3422"/>
    </row>
    <row r="39" spans="1:25" ht="16.5">
      <c r="A39" s="2667"/>
      <c r="B39" s="3432" t="s">
        <v>1271</v>
      </c>
      <c r="C39" s="3433"/>
      <c r="D39" s="3425">
        <v>0</v>
      </c>
      <c r="E39" s="3425">
        <v>0</v>
      </c>
      <c r="F39" s="3425">
        <v>0</v>
      </c>
      <c r="G39" s="3425">
        <v>0</v>
      </c>
      <c r="H39" s="3425">
        <v>0</v>
      </c>
      <c r="I39" s="3425">
        <v>0</v>
      </c>
      <c r="J39" s="3425">
        <v>0</v>
      </c>
      <c r="K39" s="3425">
        <v>0</v>
      </c>
      <c r="L39" s="3425">
        <v>0</v>
      </c>
      <c r="M39" s="3425">
        <v>0</v>
      </c>
      <c r="N39" s="3425">
        <v>0</v>
      </c>
      <c r="O39" s="3425"/>
      <c r="P39" s="3425">
        <v>0</v>
      </c>
      <c r="Q39" s="3425">
        <v>0</v>
      </c>
      <c r="R39" s="3426">
        <f t="shared" si="3"/>
        <v>0</v>
      </c>
      <c r="S39" s="3426"/>
      <c r="T39" s="3425">
        <v>0</v>
      </c>
      <c r="U39" s="3429"/>
      <c r="V39" s="3429">
        <f t="shared" si="2"/>
        <v>0</v>
      </c>
      <c r="W39" s="3422"/>
    </row>
    <row r="40" spans="1:25" ht="16.5">
      <c r="A40" s="2666"/>
      <c r="B40" s="3393" t="s">
        <v>1376</v>
      </c>
      <c r="C40" s="3393"/>
      <c r="D40" s="3434"/>
      <c r="E40" s="3434"/>
      <c r="F40" s="3434"/>
      <c r="G40" s="3434"/>
      <c r="H40" s="3434"/>
      <c r="I40" s="3434"/>
      <c r="J40" s="3434"/>
      <c r="K40" s="3434"/>
      <c r="L40" s="3434"/>
      <c r="M40" s="3434"/>
      <c r="N40" s="3434"/>
      <c r="O40" s="3434"/>
      <c r="P40" s="3434"/>
      <c r="Q40" s="3434"/>
      <c r="R40" s="3426"/>
      <c r="S40" s="3426"/>
      <c r="T40" s="3199"/>
      <c r="U40" s="3429"/>
      <c r="V40" s="3426"/>
      <c r="W40" s="3422"/>
    </row>
    <row r="41" spans="1:25" ht="16.5">
      <c r="A41" s="2666"/>
      <c r="B41" s="3393" t="s">
        <v>461</v>
      </c>
      <c r="C41" s="3393"/>
      <c r="D41" s="3425">
        <v>0</v>
      </c>
      <c r="E41" s="3425">
        <v>0</v>
      </c>
      <c r="F41" s="3425">
        <v>0</v>
      </c>
      <c r="G41" s="3425">
        <v>0</v>
      </c>
      <c r="H41" s="3425">
        <v>0</v>
      </c>
      <c r="I41" s="3425">
        <v>0</v>
      </c>
      <c r="J41" s="3425">
        <v>0</v>
      </c>
      <c r="K41" s="3425">
        <v>0</v>
      </c>
      <c r="L41" s="3425">
        <v>0</v>
      </c>
      <c r="M41" s="3425">
        <v>0</v>
      </c>
      <c r="N41" s="3425">
        <v>0</v>
      </c>
      <c r="O41" s="3425"/>
      <c r="P41" s="3425">
        <v>0</v>
      </c>
      <c r="Q41" s="3425">
        <v>0</v>
      </c>
      <c r="R41" s="3426">
        <f>ROUND(SUM(D41:Q41),0)</f>
        <v>0</v>
      </c>
      <c r="S41" s="3426"/>
      <c r="T41" s="3425">
        <v>0</v>
      </c>
      <c r="U41" s="3435"/>
      <c r="V41" s="3429">
        <f t="shared" si="2"/>
        <v>0</v>
      </c>
      <c r="W41" s="3422"/>
      <c r="Y41" s="2668"/>
    </row>
    <row r="42" spans="1:25" ht="16.5">
      <c r="A42" s="2666"/>
      <c r="B42" s="3393" t="s">
        <v>1107</v>
      </c>
      <c r="C42" s="3393"/>
      <c r="D42" s="3425">
        <v>0</v>
      </c>
      <c r="E42" s="3425">
        <v>0</v>
      </c>
      <c r="F42" s="3425">
        <v>0</v>
      </c>
      <c r="G42" s="3425">
        <v>0</v>
      </c>
      <c r="H42" s="3425">
        <v>0</v>
      </c>
      <c r="I42" s="3425">
        <v>0</v>
      </c>
      <c r="J42" s="3425">
        <v>0</v>
      </c>
      <c r="K42" s="3425">
        <v>0</v>
      </c>
      <c r="L42" s="3425">
        <v>0</v>
      </c>
      <c r="M42" s="3425">
        <v>0</v>
      </c>
      <c r="N42" s="3425">
        <v>0</v>
      </c>
      <c r="O42" s="3425"/>
      <c r="P42" s="3425">
        <v>0</v>
      </c>
      <c r="Q42" s="3425">
        <v>0</v>
      </c>
      <c r="R42" s="3426">
        <f>ROUND(SUM(D42:Q42),0)</f>
        <v>0</v>
      </c>
      <c r="S42" s="3426"/>
      <c r="T42" s="3425">
        <v>0</v>
      </c>
      <c r="U42" s="3435"/>
      <c r="V42" s="3429">
        <f t="shared" si="2"/>
        <v>0</v>
      </c>
      <c r="W42" s="3422"/>
      <c r="Y42" s="2668"/>
    </row>
    <row r="43" spans="1:25" ht="16.5">
      <c r="B43" s="3393" t="s">
        <v>462</v>
      </c>
      <c r="C43" s="3393"/>
      <c r="D43" s="3425">
        <v>0</v>
      </c>
      <c r="E43" s="3425">
        <v>0</v>
      </c>
      <c r="F43" s="3425">
        <v>0</v>
      </c>
      <c r="G43" s="3425">
        <v>0</v>
      </c>
      <c r="H43" s="3425">
        <v>0</v>
      </c>
      <c r="I43" s="3425">
        <v>0</v>
      </c>
      <c r="J43" s="3425">
        <v>0</v>
      </c>
      <c r="K43" s="3425">
        <v>0</v>
      </c>
      <c r="L43" s="3425">
        <v>0</v>
      </c>
      <c r="M43" s="3425">
        <v>0</v>
      </c>
      <c r="N43" s="3425">
        <v>0</v>
      </c>
      <c r="O43" s="3425"/>
      <c r="P43" s="3425">
        <v>0</v>
      </c>
      <c r="Q43" s="3425">
        <v>0</v>
      </c>
      <c r="R43" s="3426">
        <f>ROUND(SUM(D43:Q43),0)</f>
        <v>0</v>
      </c>
      <c r="S43" s="3426"/>
      <c r="T43" s="3198">
        <v>0</v>
      </c>
      <c r="U43" s="3436"/>
      <c r="V43" s="3429">
        <f t="shared" si="2"/>
        <v>0</v>
      </c>
      <c r="W43" s="3422"/>
    </row>
    <row r="44" spans="1:25" ht="16.5">
      <c r="A44" s="2669"/>
      <c r="B44" s="3396" t="s">
        <v>463</v>
      </c>
      <c r="C44" s="3396"/>
      <c r="D44" s="3399"/>
      <c r="E44" s="3399"/>
      <c r="F44" s="3399"/>
      <c r="G44" s="3399"/>
      <c r="H44" s="3437"/>
      <c r="I44" s="3437"/>
      <c r="J44" s="3428"/>
      <c r="K44" s="3428"/>
      <c r="L44" s="3428"/>
      <c r="M44" s="3428"/>
      <c r="N44" s="3437"/>
      <c r="O44" s="3437"/>
      <c r="P44" s="3437"/>
      <c r="Q44" s="3437"/>
      <c r="R44" s="3437"/>
      <c r="S44" s="3437"/>
      <c r="T44" s="3437"/>
      <c r="U44" s="3438"/>
      <c r="V44" s="3426"/>
      <c r="W44" s="3422"/>
    </row>
    <row r="45" spans="1:25" s="2665" customFormat="1" ht="17.25" thickBot="1">
      <c r="B45" s="3439" t="s">
        <v>464</v>
      </c>
      <c r="C45" s="3401"/>
      <c r="D45" s="3440">
        <f>ROUND(SUM(D15:D43),0)</f>
        <v>0</v>
      </c>
      <c r="E45" s="3441"/>
      <c r="F45" s="3440">
        <f>ROUND(SUM(F15:F43),0)</f>
        <v>24982557</v>
      </c>
      <c r="G45" s="3441"/>
      <c r="H45" s="3440">
        <f>ROUND(SUM(H15:H43),0)</f>
        <v>0</v>
      </c>
      <c r="I45" s="3441"/>
      <c r="J45" s="3440">
        <f>ROUND(SUM(J15:J43),0)</f>
        <v>352537</v>
      </c>
      <c r="K45" s="3442"/>
      <c r="L45" s="3440">
        <f>ROUND(SUM(L15:L43),0)</f>
        <v>0</v>
      </c>
      <c r="M45" s="3442"/>
      <c r="N45" s="3440">
        <f>ROUND(SUM(N15:N43),0)</f>
        <v>0</v>
      </c>
      <c r="O45" s="3441"/>
      <c r="P45" s="3440">
        <f>ROUND(SUM(P15:P43),0)</f>
        <v>0</v>
      </c>
      <c r="Q45" s="3441"/>
      <c r="R45" s="3440">
        <f>ROUND(SUM(R15:R43),0)</f>
        <v>25335094</v>
      </c>
      <c r="S45" s="3441"/>
      <c r="T45" s="3440">
        <f>ROUND(SUM(T15:T43),0)</f>
        <v>28372878</v>
      </c>
      <c r="U45" s="3441"/>
      <c r="V45" s="3440">
        <f>ROUND(SUM(V15:V43),0)</f>
        <v>-3037784</v>
      </c>
      <c r="W45" s="3422"/>
    </row>
    <row r="46" spans="1:25" ht="17.25" thickTop="1">
      <c r="B46" s="3443"/>
      <c r="C46" s="3443"/>
      <c r="D46" s="3393"/>
      <c r="E46" s="3393"/>
      <c r="F46" s="3393"/>
      <c r="G46" s="3393"/>
      <c r="H46" s="3393"/>
      <c r="I46" s="3393"/>
      <c r="J46" s="3393"/>
      <c r="K46" s="3393"/>
      <c r="L46" s="3393"/>
      <c r="M46" s="3393"/>
      <c r="N46" s="3393"/>
      <c r="O46" s="3393"/>
      <c r="P46" s="3393"/>
      <c r="Q46" s="3393"/>
      <c r="R46" s="3393"/>
      <c r="S46" s="3393"/>
      <c r="T46" s="3393"/>
      <c r="U46" s="3393"/>
      <c r="V46" s="3444"/>
      <c r="W46" s="3394"/>
    </row>
    <row r="47" spans="1:25" ht="16.5">
      <c r="B47" s="3393"/>
      <c r="C47" s="3393"/>
      <c r="D47" s="3393"/>
      <c r="E47" s="3393"/>
      <c r="F47" s="3393"/>
      <c r="G47" s="3393"/>
      <c r="H47" s="3393"/>
      <c r="I47" s="3393"/>
      <c r="J47" s="3393"/>
      <c r="K47" s="3393"/>
      <c r="L47" s="3393"/>
      <c r="M47" s="3393"/>
      <c r="N47" s="3393"/>
      <c r="O47" s="3393"/>
      <c r="P47" s="3393"/>
      <c r="Q47" s="3393"/>
      <c r="R47" s="3393"/>
      <c r="S47" s="3393"/>
      <c r="T47" s="3393"/>
      <c r="U47" s="3393"/>
      <c r="V47" s="3393"/>
    </row>
    <row r="48" spans="1:25" ht="15">
      <c r="B48" s="2670"/>
    </row>
    <row r="49" spans="2:2" ht="15">
      <c r="B49" s="2670"/>
    </row>
    <row r="50" spans="2:2" ht="15">
      <c r="B50" s="2670"/>
    </row>
  </sheetData>
  <dataConsolidate/>
  <pageMargins left="0.40699999999999997" right="0.25" top="0.61899999999999999" bottom="0.21" header="0.5" footer="0.25"/>
  <pageSetup scale="40" firstPageNumber="45" orientation="landscape" useFirstPageNumber="1" r:id="rId1"/>
  <headerFooter scaleWithDoc="0" alignWithMargins="0">
    <oddFooter>&amp;C&amp;8&amp;P</oddFooter>
  </headerFooter>
  <ignoredErrors>
    <ignoredError sqref="F13 N13:P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workbookViewId="0"/>
  </sheetViews>
  <sheetFormatPr defaultColWidth="8.88671875" defaultRowHeight="15"/>
  <cols>
    <col min="1" max="3" width="9.6640625" style="2168" customWidth="1"/>
    <col min="4" max="4" width="10.44140625" style="2168" customWidth="1"/>
    <col min="5" max="5" width="14.77734375" style="2168" customWidth="1"/>
    <col min="6" max="6" width="1.33203125" style="2168" customWidth="1"/>
    <col min="7" max="7" width="16.6640625" style="2168" customWidth="1"/>
    <col min="8" max="8" width="1.33203125" style="2168" customWidth="1"/>
    <col min="9" max="9" width="16.6640625" style="2168" bestFit="1" customWidth="1"/>
    <col min="10" max="10" width="9.6640625" style="2168" customWidth="1"/>
    <col min="11" max="11" width="15.6640625" style="2168" customWidth="1"/>
    <col min="12" max="16384" width="8.88671875" style="2168"/>
  </cols>
  <sheetData>
    <row r="1" spans="1:11">
      <c r="A1" s="1052" t="s">
        <v>1064</v>
      </c>
    </row>
    <row r="2" spans="1:11">
      <c r="A2" s="1459"/>
    </row>
    <row r="3" spans="1:11" ht="15.75">
      <c r="A3" s="1243" t="s">
        <v>0</v>
      </c>
      <c r="I3" s="2021" t="s">
        <v>1270</v>
      </c>
    </row>
    <row r="4" spans="1:11" ht="15.75">
      <c r="A4" s="1460" t="s">
        <v>1269</v>
      </c>
    </row>
    <row r="5" spans="1:11" ht="15.75">
      <c r="A5" s="3227" t="s">
        <v>1467</v>
      </c>
      <c r="B5" s="3228"/>
      <c r="C5" s="3228"/>
      <c r="D5" s="3228"/>
      <c r="E5" s="3228"/>
      <c r="F5" s="3228"/>
      <c r="G5" s="3228"/>
      <c r="H5" s="3228"/>
      <c r="I5" s="3228"/>
      <c r="J5" s="3228"/>
      <c r="K5" s="3228"/>
    </row>
    <row r="6" spans="1:11" ht="15.75">
      <c r="A6" s="3227" t="s">
        <v>960</v>
      </c>
      <c r="B6" s="3228"/>
      <c r="C6" s="3228"/>
      <c r="D6" s="3228"/>
      <c r="E6" s="3228"/>
      <c r="F6" s="3228"/>
      <c r="G6" s="3228"/>
      <c r="H6" s="3228"/>
      <c r="I6" s="3228"/>
      <c r="J6" s="3228"/>
      <c r="K6" s="3228"/>
    </row>
    <row r="7" spans="1:11" ht="15.75">
      <c r="A7" s="3227" t="s">
        <v>957</v>
      </c>
      <c r="B7" s="3229"/>
      <c r="C7" s="3229"/>
      <c r="D7" s="3229"/>
      <c r="E7" s="3229"/>
      <c r="F7" s="3229"/>
      <c r="G7" s="3229"/>
      <c r="H7" s="3229"/>
      <c r="I7" s="3229"/>
      <c r="J7" s="3229"/>
      <c r="K7" s="3229"/>
    </row>
    <row r="8" spans="1:11" ht="15.75">
      <c r="A8" s="702"/>
      <c r="F8" s="702"/>
      <c r="H8" s="702"/>
      <c r="I8" s="703" t="s">
        <v>465</v>
      </c>
    </row>
    <row r="9" spans="1:11" ht="15.75">
      <c r="A9" s="702"/>
      <c r="F9" s="702"/>
      <c r="G9" s="704" t="s">
        <v>466</v>
      </c>
      <c r="H9" s="702"/>
      <c r="I9" s="704" t="s">
        <v>467</v>
      </c>
    </row>
    <row r="10" spans="1:11" ht="15.75">
      <c r="A10" s="702"/>
      <c r="E10" s="705" t="s">
        <v>1493</v>
      </c>
      <c r="F10" s="702"/>
      <c r="G10" s="704" t="s">
        <v>468</v>
      </c>
      <c r="H10" s="702"/>
      <c r="I10" s="705" t="s">
        <v>1494</v>
      </c>
    </row>
    <row r="11" spans="1:11" ht="15.75">
      <c r="A11" s="702"/>
      <c r="E11" s="3142"/>
      <c r="F11" s="702"/>
      <c r="G11" s="3142"/>
      <c r="H11" s="702"/>
      <c r="I11" s="3142"/>
    </row>
    <row r="12" spans="1:11" ht="15.75">
      <c r="A12" s="706" t="s">
        <v>1056</v>
      </c>
      <c r="F12" s="702"/>
      <c r="H12" s="702"/>
    </row>
    <row r="13" spans="1:11">
      <c r="A13" s="702"/>
      <c r="F13" s="702"/>
      <c r="H13" s="702"/>
    </row>
    <row r="14" spans="1:11">
      <c r="A14" s="1125" t="s">
        <v>1055</v>
      </c>
      <c r="E14" s="2169">
        <v>16215.7</v>
      </c>
      <c r="F14" s="2169"/>
      <c r="G14" s="2170">
        <v>16215.7</v>
      </c>
      <c r="H14" s="2169"/>
      <c r="I14" s="2171">
        <v>10453.4</v>
      </c>
    </row>
    <row r="15" spans="1:11">
      <c r="A15" s="1125" t="s">
        <v>1054</v>
      </c>
      <c r="E15" s="707">
        <v>1.8919999999999999E-2</v>
      </c>
      <c r="F15" s="1381"/>
      <c r="G15" s="708">
        <v>1.8919999999999999E-2</v>
      </c>
      <c r="H15" s="1381"/>
      <c r="I15" s="709">
        <v>9.7300000000000008E-3</v>
      </c>
    </row>
    <row r="16" spans="1:11">
      <c r="A16" s="1381" t="s">
        <v>469</v>
      </c>
      <c r="E16" s="2172">
        <v>23.661999999999999</v>
      </c>
      <c r="F16" s="710"/>
      <c r="G16" s="2173">
        <v>23.661999999999999</v>
      </c>
      <c r="H16" s="1552"/>
      <c r="I16" s="2174">
        <v>7.633</v>
      </c>
    </row>
    <row r="17" spans="1:10">
      <c r="A17" s="702"/>
      <c r="J17" s="702"/>
    </row>
    <row r="18" spans="1:10">
      <c r="A18" s="1522"/>
      <c r="B18" s="2175"/>
      <c r="C18" s="2175"/>
      <c r="D18" s="2175"/>
      <c r="E18" s="2175"/>
      <c r="F18" s="2175"/>
      <c r="G18" s="2175"/>
      <c r="H18" s="2175"/>
      <c r="I18" s="2175"/>
      <c r="J18" s="1522"/>
    </row>
    <row r="19" spans="1:10">
      <c r="A19" s="1522"/>
      <c r="B19" s="2175"/>
      <c r="C19" s="2175"/>
      <c r="D19" s="2175"/>
      <c r="E19" s="2175"/>
      <c r="F19" s="2175"/>
      <c r="G19" s="2175"/>
      <c r="H19" s="2175"/>
      <c r="I19" s="2175"/>
      <c r="J19" s="1522"/>
    </row>
    <row r="20" spans="1:10" ht="18">
      <c r="A20" s="1523" t="s">
        <v>470</v>
      </c>
      <c r="B20" s="1524"/>
      <c r="C20" s="1524"/>
      <c r="D20" s="2175"/>
      <c r="E20" s="2175"/>
      <c r="F20" s="2175"/>
      <c r="G20" s="2175"/>
      <c r="H20" s="2175"/>
      <c r="I20" s="2175"/>
      <c r="J20" s="1522"/>
    </row>
    <row r="21" spans="1:10">
      <c r="A21" s="1522"/>
      <c r="B21" s="2175"/>
      <c r="C21" s="2175"/>
      <c r="D21" s="2175"/>
      <c r="E21" s="2175"/>
      <c r="F21" s="1022"/>
      <c r="G21" s="1022" t="str">
        <f>E10</f>
        <v>APRIL 2018</v>
      </c>
      <c r="H21" s="3511"/>
      <c r="I21" s="1022" t="str">
        <f>I10</f>
        <v>APRIL 2017</v>
      </c>
      <c r="J21" s="1522"/>
    </row>
    <row r="22" spans="1:10">
      <c r="A22" s="1522"/>
      <c r="B22" s="1525" t="s">
        <v>471</v>
      </c>
      <c r="C22" s="2175"/>
      <c r="D22" s="2176" t="s">
        <v>15</v>
      </c>
      <c r="E22" s="2175"/>
      <c r="F22" s="1526"/>
      <c r="G22" s="3260" t="s">
        <v>472</v>
      </c>
      <c r="H22" s="1526"/>
      <c r="I22" s="3260" t="s">
        <v>472</v>
      </c>
      <c r="J22" s="1522"/>
    </row>
    <row r="23" spans="1:10">
      <c r="A23" s="1522"/>
      <c r="B23" s="2176" t="s">
        <v>473</v>
      </c>
      <c r="C23" s="2175"/>
      <c r="D23" s="2175"/>
      <c r="E23" s="2175"/>
      <c r="F23" s="2177"/>
      <c r="G23" s="2178">
        <v>0</v>
      </c>
      <c r="H23" s="2177"/>
      <c r="I23" s="2178">
        <v>0</v>
      </c>
      <c r="J23" s="1522"/>
    </row>
    <row r="24" spans="1:10">
      <c r="A24" s="1522"/>
      <c r="B24" s="2176" t="s">
        <v>474</v>
      </c>
      <c r="C24" s="2175"/>
      <c r="D24" s="2175"/>
      <c r="E24" s="2175"/>
      <c r="F24" s="2177"/>
      <c r="G24" s="2179">
        <v>26.6</v>
      </c>
      <c r="H24" s="2177"/>
      <c r="I24" s="2179">
        <v>21.8</v>
      </c>
      <c r="J24" s="1522"/>
    </row>
    <row r="25" spans="1:10">
      <c r="A25" s="1522"/>
      <c r="B25" s="2176" t="s">
        <v>475</v>
      </c>
      <c r="C25" s="2175"/>
      <c r="D25" s="2175"/>
      <c r="E25" s="2175"/>
      <c r="F25" s="2180"/>
      <c r="G25" s="2179">
        <v>14648.3</v>
      </c>
      <c r="H25" s="2180"/>
      <c r="I25" s="2181">
        <v>10966.2</v>
      </c>
      <c r="J25" s="1522"/>
    </row>
    <row r="26" spans="1:10">
      <c r="A26" s="1522"/>
      <c r="B26" s="2176" t="s">
        <v>476</v>
      </c>
      <c r="C26" s="2175"/>
      <c r="D26" s="2175"/>
      <c r="E26" s="2175"/>
      <c r="F26" s="2180"/>
      <c r="G26" s="2179">
        <v>2830.1</v>
      </c>
      <c r="H26" s="2180"/>
      <c r="I26" s="2181">
        <v>1625.2</v>
      </c>
      <c r="J26" s="1522"/>
    </row>
    <row r="27" spans="1:10">
      <c r="A27" s="1522"/>
      <c r="B27" s="1527" t="s">
        <v>918</v>
      </c>
      <c r="C27" s="2175"/>
      <c r="D27" s="2175"/>
      <c r="E27" s="2175"/>
      <c r="F27" s="2182"/>
      <c r="G27" s="2179">
        <v>1450</v>
      </c>
      <c r="H27" s="2182"/>
      <c r="I27" s="2181">
        <v>4570</v>
      </c>
      <c r="J27" s="1522"/>
    </row>
    <row r="28" spans="1:10" ht="16.5" thickBot="1">
      <c r="A28" s="1522"/>
      <c r="B28" s="2175"/>
      <c r="C28" s="2175"/>
      <c r="D28" s="2175"/>
      <c r="E28" s="2175"/>
      <c r="F28" s="711"/>
      <c r="G28" s="3143">
        <f>ROUND(SUM(G23:G27),1)</f>
        <v>18955</v>
      </c>
      <c r="H28" s="711"/>
      <c r="I28" s="3143">
        <f>ROUND(SUM(I23:I27),1)</f>
        <v>17183.2</v>
      </c>
      <c r="J28" s="1522"/>
    </row>
    <row r="29" spans="1:10" ht="15.75" thickTop="1">
      <c r="A29" s="702"/>
      <c r="F29" s="2183"/>
      <c r="G29" s="2183"/>
      <c r="H29" s="2183"/>
      <c r="J29" s="702"/>
    </row>
    <row r="30" spans="1:10">
      <c r="A30" s="702"/>
      <c r="J30" s="702"/>
    </row>
    <row r="31" spans="1:10" ht="15.75">
      <c r="A31" s="706"/>
      <c r="J31" s="702"/>
    </row>
    <row r="32" spans="1:10" ht="192.75" customHeight="1">
      <c r="A32" s="3772" t="s">
        <v>1069</v>
      </c>
      <c r="B32" s="3772"/>
      <c r="C32" s="3772"/>
      <c r="D32" s="3772"/>
      <c r="E32" s="3772"/>
      <c r="F32" s="3772"/>
      <c r="G32" s="3772"/>
      <c r="H32" s="3772"/>
      <c r="I32" s="3772"/>
      <c r="J32" s="702"/>
    </row>
    <row r="34" spans="1:11" ht="15" customHeight="1">
      <c r="A34" s="1068" t="s">
        <v>1057</v>
      </c>
      <c r="B34" s="1241"/>
      <c r="C34" s="1241"/>
      <c r="D34" s="1241"/>
      <c r="E34" s="1241"/>
      <c r="F34" s="1241"/>
      <c r="G34" s="1241"/>
      <c r="H34" s="1241"/>
      <c r="I34" s="1241"/>
      <c r="J34" s="1241"/>
      <c r="K34" s="1241"/>
    </row>
    <row r="35" spans="1:11" ht="17.25" customHeight="1">
      <c r="A35" s="1239"/>
      <c r="B35" s="1242"/>
      <c r="C35" s="1242"/>
      <c r="D35" s="1242"/>
      <c r="E35" s="1242"/>
      <c r="F35" s="1242"/>
      <c r="G35" s="1242"/>
      <c r="H35" s="1242"/>
      <c r="I35" s="1242"/>
      <c r="J35" s="1242"/>
      <c r="K35" s="712"/>
    </row>
    <row r="36" spans="1:11">
      <c r="A36" s="1381"/>
      <c r="B36" s="1381"/>
      <c r="C36" s="1242"/>
      <c r="D36" s="1242"/>
      <c r="E36" s="1242"/>
      <c r="F36" s="1242"/>
      <c r="G36" s="1242"/>
      <c r="H36" s="1242"/>
      <c r="I36" s="1242"/>
      <c r="J36" s="1242"/>
      <c r="K36" s="712"/>
    </row>
    <row r="37" spans="1:11">
      <c r="A37" s="1239"/>
      <c r="B37" s="1240"/>
      <c r="C37" s="1242"/>
      <c r="D37" s="1242"/>
      <c r="E37" s="1242"/>
      <c r="F37" s="1242"/>
      <c r="G37" s="1242"/>
      <c r="H37" s="1242"/>
      <c r="I37" s="1242"/>
      <c r="J37" s="1242"/>
      <c r="K37" s="712"/>
    </row>
    <row r="38" spans="1:11">
      <c r="A38" s="702"/>
      <c r="B38" s="1381" t="s">
        <v>15</v>
      </c>
      <c r="C38" s="702"/>
      <c r="D38" s="702"/>
      <c r="E38" s="702"/>
      <c r="F38" s="702"/>
      <c r="G38" s="702"/>
      <c r="H38" s="702"/>
      <c r="I38" s="702"/>
    </row>
    <row r="39" spans="1:11">
      <c r="B39" s="1381" t="s">
        <v>15</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1">
    <mergeCell ref="A32:I32"/>
  </mergeCells>
  <printOptions horizontalCentered="1" verticalCentered="1"/>
  <pageMargins left="0.5" right="0.5" top="1" bottom="0.5" header="0.5" footer="0.25"/>
  <pageSetup scale="71" firstPageNumber="46"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70" workbookViewId="0"/>
  </sheetViews>
  <sheetFormatPr defaultColWidth="8.88671875" defaultRowHeight="12.75"/>
  <cols>
    <col min="1" max="1" width="45.44140625" style="2857" customWidth="1"/>
    <col min="2" max="2" width="17" style="2596" bestFit="1" customWidth="1"/>
    <col min="3" max="3" width="1.77734375" style="2596" customWidth="1"/>
    <col min="4" max="4" width="17" style="2596" bestFit="1" customWidth="1"/>
    <col min="5" max="5" width="1.6640625" style="2595" customWidth="1"/>
    <col min="6" max="6" width="17.21875" style="2596" customWidth="1"/>
    <col min="7" max="7" width="1.6640625" style="2595" customWidth="1"/>
    <col min="8" max="8" width="17.5546875" style="2596" customWidth="1"/>
    <col min="9" max="9" width="1.6640625" style="2910" customWidth="1"/>
    <col min="10" max="10" width="16.44140625" style="2862" customWidth="1"/>
    <col min="11" max="11" width="1.6640625" style="2862" customWidth="1"/>
    <col min="12" max="12" width="17" style="2862" bestFit="1" customWidth="1"/>
    <col min="13" max="13" width="1.6640625" style="2910" customWidth="1"/>
    <col min="14" max="14" width="17.5546875" style="2862" customWidth="1"/>
    <col min="15" max="15" width="1.6640625" style="2910" customWidth="1"/>
    <col min="16" max="16" width="17.21875" style="2862" customWidth="1"/>
    <col min="17" max="17" width="1.6640625" style="2910" customWidth="1"/>
    <col min="18" max="18" width="13.6640625" style="2862" customWidth="1"/>
    <col min="19" max="19" width="1.6640625" style="2910" customWidth="1"/>
    <col min="20" max="20" width="13.6640625" style="2862" customWidth="1"/>
    <col min="21" max="21" width="1.6640625" style="2910" customWidth="1"/>
    <col min="22" max="22" width="13.6640625" style="2862" customWidth="1"/>
    <col min="23" max="23" width="1.6640625" style="2910" customWidth="1"/>
    <col min="24" max="24" width="13.6640625" style="2862" customWidth="1"/>
    <col min="25" max="25" width="1.6640625" style="2910" customWidth="1"/>
    <col min="26" max="26" width="22.44140625" style="2911" bestFit="1" customWidth="1"/>
    <col min="27" max="27" width="1.5546875" style="2857" customWidth="1"/>
    <col min="28" max="28" width="18.77734375" style="2857" bestFit="1" customWidth="1"/>
    <col min="29" max="29" width="12.6640625" style="2857" bestFit="1" customWidth="1"/>
    <col min="30" max="16384" width="8.88671875" style="2857"/>
  </cols>
  <sheetData>
    <row r="1" spans="1:40" ht="15">
      <c r="A1" s="2408" t="s">
        <v>1064</v>
      </c>
      <c r="B1" s="2138"/>
      <c r="C1" s="2138"/>
      <c r="D1" s="2138"/>
      <c r="E1" s="2138"/>
      <c r="F1" s="2138"/>
      <c r="G1" s="2138"/>
      <c r="H1" s="2138"/>
      <c r="I1" s="2856"/>
      <c r="J1" s="2856"/>
      <c r="K1" s="2856"/>
      <c r="L1" s="2856"/>
      <c r="M1" s="2856"/>
      <c r="N1" s="2856"/>
      <c r="O1" s="2856"/>
      <c r="P1" s="2856"/>
      <c r="Q1" s="2856"/>
      <c r="R1" s="2856"/>
      <c r="S1" s="2856"/>
      <c r="T1" s="2856"/>
      <c r="U1" s="2856"/>
      <c r="V1" s="2856"/>
      <c r="W1" s="2856"/>
      <c r="X1" s="2856"/>
      <c r="Y1" s="2856"/>
      <c r="Z1" s="2856"/>
      <c r="AA1" s="2856"/>
      <c r="AB1" s="2856"/>
      <c r="AC1" s="2856"/>
      <c r="AD1" s="2856"/>
      <c r="AE1" s="2856"/>
      <c r="AF1" s="2856"/>
      <c r="AG1" s="2856"/>
    </row>
    <row r="2" spans="1:40" ht="15">
      <c r="A2" s="2408"/>
      <c r="B2" s="2138"/>
      <c r="C2" s="2138"/>
      <c r="D2" s="2138"/>
      <c r="E2" s="2138"/>
      <c r="F2" s="2138"/>
      <c r="G2" s="2138"/>
      <c r="H2" s="2138"/>
      <c r="I2" s="2856"/>
      <c r="J2" s="2856"/>
      <c r="K2" s="2856"/>
      <c r="L2" s="2856"/>
      <c r="M2" s="2856"/>
      <c r="N2" s="2856"/>
      <c r="O2" s="2856"/>
      <c r="P2" s="2856"/>
      <c r="Q2" s="2856"/>
      <c r="R2" s="2856"/>
      <c r="S2" s="2856"/>
      <c r="T2" s="2856"/>
      <c r="U2" s="2856"/>
      <c r="V2" s="2856"/>
      <c r="W2" s="2856"/>
      <c r="X2" s="2856"/>
      <c r="Y2" s="2856"/>
      <c r="Z2" s="2856"/>
      <c r="AA2" s="2856"/>
      <c r="AB2" s="2856"/>
      <c r="AC2" s="2856"/>
      <c r="AD2" s="2856"/>
      <c r="AE2" s="2856"/>
      <c r="AF2" s="2856"/>
      <c r="AG2" s="2856"/>
    </row>
    <row r="3" spans="1:40" ht="24" customHeight="1">
      <c r="A3" s="2858" t="s">
        <v>0</v>
      </c>
      <c r="B3" s="835"/>
      <c r="C3" s="835"/>
      <c r="D3" s="836"/>
      <c r="E3" s="837"/>
      <c r="F3" s="836"/>
      <c r="G3" s="837"/>
      <c r="H3" s="836"/>
      <c r="I3" s="2861"/>
      <c r="K3" s="2859"/>
      <c r="L3" s="2863"/>
      <c r="M3" s="2859"/>
      <c r="N3" s="2860"/>
      <c r="O3" s="2861"/>
      <c r="P3" s="2860"/>
      <c r="Q3" s="2861"/>
      <c r="R3" s="2860"/>
      <c r="S3" s="2861"/>
      <c r="T3" s="2860"/>
      <c r="U3" s="2861"/>
      <c r="V3" s="2860"/>
      <c r="W3" s="2861"/>
      <c r="X3" s="2860"/>
      <c r="Y3" s="2861"/>
      <c r="Z3" s="2864" t="s">
        <v>477</v>
      </c>
      <c r="AA3" s="2859"/>
      <c r="AC3" s="2859"/>
      <c r="AE3" s="2859"/>
    </row>
    <row r="4" spans="1:40" ht="16.5">
      <c r="A4" s="2858" t="s">
        <v>478</v>
      </c>
      <c r="B4" s="2139"/>
      <c r="C4" s="2139"/>
      <c r="D4" s="839"/>
      <c r="E4" s="837"/>
      <c r="F4" s="2139"/>
      <c r="G4" s="837"/>
      <c r="H4" s="2139"/>
      <c r="I4" s="2861"/>
      <c r="J4" s="2865"/>
      <c r="K4" s="2865"/>
      <c r="L4" s="2865"/>
      <c r="M4" s="2866"/>
      <c r="N4" s="2865"/>
      <c r="O4" s="2861"/>
      <c r="P4" s="2865"/>
      <c r="Q4" s="2861"/>
      <c r="R4" s="2865"/>
      <c r="S4" s="2861"/>
      <c r="T4" s="2865"/>
      <c r="U4" s="2861"/>
      <c r="V4" s="2865"/>
      <c r="W4" s="2861"/>
      <c r="X4" s="2865"/>
      <c r="Y4" s="2861"/>
      <c r="Z4" s="2867"/>
      <c r="AA4" s="2868"/>
      <c r="AC4" s="2859"/>
    </row>
    <row r="5" spans="1:40" ht="16.5">
      <c r="A5" s="2869" t="s">
        <v>1290</v>
      </c>
      <c r="B5" s="2139"/>
      <c r="C5" s="2139"/>
      <c r="D5" s="2139"/>
      <c r="E5" s="837"/>
      <c r="F5" s="2139"/>
      <c r="G5" s="837"/>
      <c r="H5" s="2139"/>
      <c r="I5" s="2861"/>
      <c r="J5" s="2865"/>
      <c r="K5" s="2865"/>
      <c r="L5" s="2865"/>
      <c r="M5" s="2866"/>
      <c r="N5" s="2865"/>
      <c r="O5" s="2861"/>
      <c r="P5" s="2865"/>
      <c r="Q5" s="2861"/>
      <c r="R5" s="2865"/>
      <c r="S5" s="2861"/>
      <c r="T5" s="2865"/>
      <c r="U5" s="2861"/>
      <c r="V5" s="2865"/>
      <c r="W5" s="2861"/>
      <c r="X5" s="2865"/>
      <c r="Y5" s="2861"/>
      <c r="Z5" s="2867"/>
    </row>
    <row r="6" spans="1:40" ht="18" customHeight="1">
      <c r="A6" s="2870" t="str">
        <f>'Cashflow Governmental'!A6</f>
        <v>FISCAL YEAR 2018-2019</v>
      </c>
      <c r="B6" s="2139"/>
      <c r="C6" s="2139"/>
      <c r="D6" s="844"/>
      <c r="E6" s="837"/>
      <c r="F6" s="2139"/>
      <c r="G6" s="837"/>
      <c r="H6" s="2139"/>
      <c r="I6" s="2861"/>
      <c r="J6" s="2865"/>
      <c r="K6" s="2865"/>
      <c r="L6" s="2865"/>
      <c r="M6" s="2866"/>
      <c r="N6" s="2865"/>
      <c r="O6" s="2861"/>
      <c r="P6" s="2865"/>
      <c r="Q6" s="2861"/>
      <c r="R6" s="2865"/>
      <c r="S6" s="2861"/>
      <c r="T6" s="2865"/>
      <c r="U6" s="2861"/>
      <c r="V6" s="2865"/>
      <c r="W6" s="2861"/>
      <c r="X6" s="2865"/>
      <c r="Y6" s="2861"/>
      <c r="Z6" s="2867"/>
    </row>
    <row r="7" spans="1:40" ht="15" customHeight="1">
      <c r="A7" s="2871"/>
      <c r="B7" s="2139"/>
      <c r="C7" s="2139"/>
      <c r="D7" s="2139"/>
      <c r="E7" s="837"/>
      <c r="F7" s="2139"/>
      <c r="G7" s="837"/>
      <c r="H7" s="2139"/>
      <c r="I7" s="2861"/>
      <c r="J7" s="2865"/>
      <c r="K7" s="2865"/>
      <c r="L7" s="2865"/>
      <c r="M7" s="2866"/>
      <c r="N7" s="2865"/>
      <c r="O7" s="2861"/>
      <c r="P7" s="2865"/>
      <c r="Q7" s="2861"/>
      <c r="R7" s="2872"/>
      <c r="S7" s="2861"/>
      <c r="T7" s="2872"/>
      <c r="U7" s="2861"/>
      <c r="V7" s="2872"/>
      <c r="W7" s="2861"/>
      <c r="X7" s="2872"/>
      <c r="Y7" s="2861"/>
      <c r="Z7" s="2867"/>
    </row>
    <row r="8" spans="1:40" ht="15.75">
      <c r="A8" s="2873"/>
      <c r="B8" s="2139"/>
      <c r="C8" s="2139"/>
      <c r="D8" s="2139"/>
      <c r="E8" s="837"/>
      <c r="F8" s="2139"/>
      <c r="G8" s="837"/>
      <c r="H8" s="2139"/>
      <c r="I8" s="2861"/>
      <c r="J8" s="2865"/>
      <c r="K8" s="2865"/>
      <c r="L8" s="2865"/>
      <c r="M8" s="2861"/>
      <c r="N8" s="2865"/>
      <c r="O8" s="2861"/>
      <c r="P8" s="2865"/>
      <c r="Q8" s="2861"/>
      <c r="R8" s="2865"/>
      <c r="S8" s="2861"/>
      <c r="T8" s="2865"/>
      <c r="U8" s="2861"/>
      <c r="V8" s="2865"/>
      <c r="W8" s="2861"/>
      <c r="X8" s="2865"/>
      <c r="Y8" s="2861"/>
      <c r="Z8" s="2874"/>
      <c r="AA8" s="2875"/>
    </row>
    <row r="9" spans="1:40" ht="15" customHeight="1">
      <c r="A9" s="2876"/>
      <c r="B9" s="1564" t="str">
        <f>'Cashflow Governmental'!C13</f>
        <v>2018</v>
      </c>
      <c r="C9" s="847"/>
      <c r="D9" s="847"/>
      <c r="E9" s="840"/>
      <c r="F9" s="847"/>
      <c r="G9" s="840"/>
      <c r="H9" s="847"/>
      <c r="I9" s="2866"/>
      <c r="J9" s="2878"/>
      <c r="K9" s="2878"/>
      <c r="L9" s="2879"/>
      <c r="M9" s="2866"/>
      <c r="N9" s="2879"/>
      <c r="O9" s="2866"/>
      <c r="P9" s="2879"/>
      <c r="Q9" s="2866"/>
      <c r="R9" s="2879"/>
      <c r="S9" s="2866"/>
      <c r="T9" s="2877" t="str">
        <f>'Cashflow Governmental'!U13</f>
        <v>2019</v>
      </c>
      <c r="U9" s="2866"/>
      <c r="V9" s="2879"/>
      <c r="W9" s="2866"/>
      <c r="X9" s="2879"/>
      <c r="Y9" s="2866"/>
      <c r="Z9" s="2880" t="s">
        <v>1455</v>
      </c>
      <c r="AA9" s="2880"/>
    </row>
    <row r="10" spans="1:40" ht="15" customHeight="1">
      <c r="A10" s="2876"/>
      <c r="B10" s="850" t="s">
        <v>126</v>
      </c>
      <c r="C10" s="851"/>
      <c r="D10" s="848" t="s">
        <v>127</v>
      </c>
      <c r="E10" s="840"/>
      <c r="F10" s="848" t="s">
        <v>128</v>
      </c>
      <c r="G10" s="840"/>
      <c r="H10" s="848" t="s">
        <v>129</v>
      </c>
      <c r="I10" s="2866"/>
      <c r="J10" s="3217" t="s">
        <v>130</v>
      </c>
      <c r="K10" s="852"/>
      <c r="L10" s="2879" t="s">
        <v>145</v>
      </c>
      <c r="M10" s="2866"/>
      <c r="N10" s="2879" t="s">
        <v>146</v>
      </c>
      <c r="O10" s="2866"/>
      <c r="P10" s="2879" t="s">
        <v>133</v>
      </c>
      <c r="Q10" s="2866"/>
      <c r="R10" s="2879" t="s">
        <v>134</v>
      </c>
      <c r="S10" s="2866"/>
      <c r="T10" s="2879" t="s">
        <v>135</v>
      </c>
      <c r="U10" s="2866"/>
      <c r="V10" s="2879" t="s">
        <v>136</v>
      </c>
      <c r="W10" s="2866"/>
      <c r="X10" s="2879" t="s">
        <v>188</v>
      </c>
      <c r="Y10" s="2866"/>
      <c r="Z10" s="2881">
        <v>43220</v>
      </c>
      <c r="AA10" s="2881"/>
    </row>
    <row r="11" spans="1:40" ht="15" customHeight="1">
      <c r="A11" s="2876"/>
      <c r="B11" s="3108" t="s">
        <v>15</v>
      </c>
      <c r="C11" s="2143"/>
      <c r="D11" s="3108" t="s">
        <v>15</v>
      </c>
      <c r="E11" s="2144"/>
      <c r="F11" s="3108" t="s">
        <v>15</v>
      </c>
      <c r="G11" s="2144"/>
      <c r="H11" s="3108" t="s">
        <v>15</v>
      </c>
      <c r="I11" s="2884"/>
      <c r="J11" s="2882" t="s">
        <v>15</v>
      </c>
      <c r="K11" s="852"/>
      <c r="L11" s="2882" t="s">
        <v>15</v>
      </c>
      <c r="M11" s="2884"/>
      <c r="N11" s="2882" t="s">
        <v>15</v>
      </c>
      <c r="O11" s="2884"/>
      <c r="P11" s="2882" t="s">
        <v>15</v>
      </c>
      <c r="Q11" s="2884"/>
      <c r="R11" s="2882" t="s">
        <v>15</v>
      </c>
      <c r="S11" s="2884"/>
      <c r="T11" s="2882" t="s">
        <v>15</v>
      </c>
      <c r="U11" s="2884"/>
      <c r="V11" s="2882" t="s">
        <v>15</v>
      </c>
      <c r="W11" s="2884"/>
      <c r="X11" s="2882" t="s">
        <v>15</v>
      </c>
      <c r="Y11" s="2884"/>
      <c r="Z11" s="2885" t="s">
        <v>15</v>
      </c>
      <c r="AB11" s="2886"/>
      <c r="AC11" s="2886"/>
      <c r="AD11" s="2886"/>
      <c r="AE11" s="2886"/>
      <c r="AF11" s="2886"/>
      <c r="AG11" s="2886"/>
      <c r="AH11" s="2886"/>
      <c r="AI11" s="2886"/>
      <c r="AJ11" s="2886"/>
      <c r="AK11" s="2886"/>
      <c r="AL11" s="2886"/>
      <c r="AM11" s="2886"/>
      <c r="AN11" s="2886"/>
    </row>
    <row r="12" spans="1:40" s="2888" customFormat="1" ht="15" customHeight="1">
      <c r="A12" s="866" t="s">
        <v>479</v>
      </c>
      <c r="B12" s="855">
        <v>14572292</v>
      </c>
      <c r="C12" s="856"/>
      <c r="D12" s="855"/>
      <c r="E12" s="2145"/>
      <c r="F12" s="855"/>
      <c r="G12" s="2145"/>
      <c r="H12" s="855"/>
      <c r="I12" s="2887"/>
      <c r="J12" s="868"/>
      <c r="K12" s="857"/>
      <c r="L12" s="868"/>
      <c r="M12" s="867"/>
      <c r="N12" s="868"/>
      <c r="O12" s="868"/>
      <c r="P12" s="868"/>
      <c r="Q12" s="868"/>
      <c r="R12" s="868"/>
      <c r="S12" s="868"/>
      <c r="T12" s="868"/>
      <c r="U12" s="868"/>
      <c r="V12" s="868"/>
      <c r="W12" s="868"/>
      <c r="X12" s="868"/>
      <c r="Y12" s="868"/>
      <c r="Z12" s="868">
        <f>+B12</f>
        <v>14572292</v>
      </c>
    </row>
    <row r="13" spans="1:40" ht="15" customHeight="1">
      <c r="A13" s="2889"/>
      <c r="B13" s="2147"/>
      <c r="C13" s="2148"/>
      <c r="D13" s="2147"/>
      <c r="E13" s="2147"/>
      <c r="F13" s="2147"/>
      <c r="G13" s="2147"/>
      <c r="H13" s="2147"/>
      <c r="I13" s="2157"/>
      <c r="J13" s="2157"/>
      <c r="K13" s="852"/>
      <c r="L13" s="2157"/>
      <c r="M13" s="2157"/>
      <c r="N13" s="2157"/>
      <c r="O13" s="2157"/>
      <c r="P13" s="2157"/>
      <c r="Q13" s="2157"/>
      <c r="R13" s="2157"/>
      <c r="S13" s="2157"/>
      <c r="T13" s="2157"/>
      <c r="U13" s="2157"/>
      <c r="V13" s="2157"/>
      <c r="W13" s="2157"/>
      <c r="X13" s="2157"/>
      <c r="Y13" s="2157"/>
      <c r="Z13" s="2891"/>
    </row>
    <row r="14" spans="1:40" ht="15" customHeight="1">
      <c r="A14" s="865" t="s">
        <v>14</v>
      </c>
      <c r="B14" s="2147"/>
      <c r="C14" s="2148"/>
      <c r="D14" s="2147"/>
      <c r="E14" s="2147"/>
      <c r="F14" s="2147"/>
      <c r="G14" s="2147"/>
      <c r="H14" s="2147"/>
      <c r="I14" s="2157"/>
      <c r="J14" s="2157"/>
      <c r="K14" s="2157"/>
      <c r="L14" s="2157"/>
      <c r="M14" s="2157"/>
      <c r="N14" s="2157"/>
      <c r="O14" s="2157"/>
      <c r="P14" s="2157"/>
      <c r="Q14" s="2157"/>
      <c r="R14" s="2157"/>
      <c r="S14" s="2157"/>
      <c r="T14" s="2157"/>
      <c r="U14" s="2157"/>
      <c r="V14" s="2157"/>
      <c r="W14" s="2157"/>
      <c r="X14" s="2157"/>
      <c r="Y14" s="2157"/>
      <c r="Z14" s="2891"/>
    </row>
    <row r="15" spans="1:40" ht="15" customHeight="1">
      <c r="A15" s="1442" t="s">
        <v>480</v>
      </c>
      <c r="B15" s="2150">
        <f>$Z15</f>
        <v>63521980</v>
      </c>
      <c r="C15" s="2151"/>
      <c r="D15" s="2150"/>
      <c r="E15" s="2150"/>
      <c r="F15" s="2150"/>
      <c r="G15" s="2150"/>
      <c r="H15" s="2150"/>
      <c r="I15" s="2155"/>
      <c r="J15" s="2155"/>
      <c r="K15" s="2155"/>
      <c r="L15" s="2155"/>
      <c r="M15" s="2157"/>
      <c r="N15" s="2155"/>
      <c r="O15" s="2155"/>
      <c r="P15" s="2155"/>
      <c r="Q15" s="2155"/>
      <c r="R15" s="2155"/>
      <c r="S15" s="2155"/>
      <c r="T15" s="2155"/>
      <c r="U15" s="2155"/>
      <c r="V15" s="2155"/>
      <c r="W15" s="2155"/>
      <c r="X15" s="2155"/>
      <c r="Y15" s="2155"/>
      <c r="Z15" s="2155">
        <v>63521980</v>
      </c>
    </row>
    <row r="16" spans="1:40" ht="15" customHeight="1">
      <c r="A16" s="1442" t="s">
        <v>481</v>
      </c>
      <c r="B16" s="2150">
        <f t="shared" ref="B16:B23" si="0">$Z16</f>
        <v>2365000</v>
      </c>
      <c r="C16" s="2151"/>
      <c r="D16" s="2150"/>
      <c r="E16" s="2150"/>
      <c r="F16" s="2150"/>
      <c r="G16" s="2150"/>
      <c r="H16" s="2150"/>
      <c r="I16" s="2155"/>
      <c r="J16" s="2155"/>
      <c r="K16" s="2155"/>
      <c r="L16" s="2155"/>
      <c r="M16" s="2157"/>
      <c r="N16" s="2155"/>
      <c r="O16" s="2155"/>
      <c r="P16" s="2155"/>
      <c r="Q16" s="2155"/>
      <c r="R16" s="2155"/>
      <c r="S16" s="2155"/>
      <c r="T16" s="2155"/>
      <c r="U16" s="2155"/>
      <c r="V16" s="2155"/>
      <c r="W16" s="2155"/>
      <c r="X16" s="2155"/>
      <c r="Y16" s="2155"/>
      <c r="Z16" s="2155">
        <v>2365000</v>
      </c>
    </row>
    <row r="17" spans="1:28" ht="15" customHeight="1">
      <c r="A17" s="1442" t="s">
        <v>482</v>
      </c>
      <c r="B17" s="2150">
        <f t="shared" si="0"/>
        <v>293039</v>
      </c>
      <c r="C17" s="2151"/>
      <c r="D17" s="2150"/>
      <c r="E17" s="2150"/>
      <c r="F17" s="2150"/>
      <c r="G17" s="2150"/>
      <c r="H17" s="2150"/>
      <c r="I17" s="2155"/>
      <c r="J17" s="2155"/>
      <c r="K17" s="2155"/>
      <c r="L17" s="2155"/>
      <c r="M17" s="2157"/>
      <c r="N17" s="2155"/>
      <c r="O17" s="2155"/>
      <c r="P17" s="2155"/>
      <c r="Q17" s="2155"/>
      <c r="R17" s="2155"/>
      <c r="S17" s="2155"/>
      <c r="T17" s="2155"/>
      <c r="U17" s="2155"/>
      <c r="V17" s="2155"/>
      <c r="W17" s="2155"/>
      <c r="X17" s="2155"/>
      <c r="Y17" s="2155"/>
      <c r="Z17" s="2155">
        <v>293039</v>
      </c>
    </row>
    <row r="18" spans="1:28" ht="15" customHeight="1">
      <c r="A18" s="1442" t="s">
        <v>483</v>
      </c>
      <c r="B18" s="2150">
        <f t="shared" si="0"/>
        <v>0</v>
      </c>
      <c r="C18" s="2153"/>
      <c r="D18" s="2150"/>
      <c r="E18" s="3109"/>
      <c r="F18" s="2150"/>
      <c r="G18" s="3109"/>
      <c r="H18" s="2150"/>
      <c r="I18" s="2155"/>
      <c r="J18" s="2155"/>
      <c r="K18" s="2892"/>
      <c r="L18" s="2155"/>
      <c r="M18" s="2157"/>
      <c r="N18" s="2155"/>
      <c r="O18" s="2155"/>
      <c r="P18" s="2155"/>
      <c r="Q18" s="2155"/>
      <c r="R18" s="2155"/>
      <c r="S18" s="2155"/>
      <c r="T18" s="2155"/>
      <c r="U18" s="2155"/>
      <c r="V18" s="2155"/>
      <c r="W18" s="2155"/>
      <c r="X18" s="2155"/>
      <c r="Y18" s="2155"/>
      <c r="Z18" s="2161">
        <v>0</v>
      </c>
    </row>
    <row r="19" spans="1:28" ht="15" customHeight="1">
      <c r="A19" s="1442" t="s">
        <v>484</v>
      </c>
      <c r="B19" s="2150">
        <f t="shared" si="0"/>
        <v>447767954</v>
      </c>
      <c r="C19" s="2151"/>
      <c r="D19" s="2150"/>
      <c r="E19" s="2150"/>
      <c r="F19" s="2150"/>
      <c r="G19" s="2150"/>
      <c r="H19" s="2150"/>
      <c r="I19" s="2155"/>
      <c r="J19" s="2155"/>
      <c r="K19" s="2155"/>
      <c r="L19" s="2155"/>
      <c r="M19" s="2157"/>
      <c r="N19" s="2155"/>
      <c r="O19" s="2155"/>
      <c r="P19" s="2155"/>
      <c r="Q19" s="2155"/>
      <c r="R19" s="2155"/>
      <c r="S19" s="2155"/>
      <c r="T19" s="2155"/>
      <c r="U19" s="2155"/>
      <c r="V19" s="2155"/>
      <c r="W19" s="2155"/>
      <c r="X19" s="2155"/>
      <c r="Y19" s="2155"/>
      <c r="Z19" s="2155">
        <v>447767954</v>
      </c>
    </row>
    <row r="20" spans="1:28" ht="15" customHeight="1">
      <c r="A20" s="1442" t="s">
        <v>485</v>
      </c>
      <c r="B20" s="2150">
        <f t="shared" si="0"/>
        <v>469000</v>
      </c>
      <c r="C20" s="2153"/>
      <c r="D20" s="2150"/>
      <c r="E20" s="2150"/>
      <c r="F20" s="2150"/>
      <c r="G20" s="2150"/>
      <c r="H20" s="2150"/>
      <c r="I20" s="2155"/>
      <c r="J20" s="2155"/>
      <c r="K20" s="2158"/>
      <c r="L20" s="2155"/>
      <c r="M20" s="2157"/>
      <c r="N20" s="2155"/>
      <c r="O20" s="2155"/>
      <c r="P20" s="2155"/>
      <c r="Q20" s="2155"/>
      <c r="R20" s="2155"/>
      <c r="S20" s="2155"/>
      <c r="T20" s="2155"/>
      <c r="U20" s="2155"/>
      <c r="V20" s="2155"/>
      <c r="W20" s="2161"/>
      <c r="X20" s="2155"/>
      <c r="Y20" s="2155"/>
      <c r="Z20" s="2155">
        <v>469000</v>
      </c>
    </row>
    <row r="21" spans="1:28" ht="15" customHeight="1">
      <c r="A21" s="1442" t="s">
        <v>486</v>
      </c>
      <c r="B21" s="2150">
        <f t="shared" si="0"/>
        <v>5097831</v>
      </c>
      <c r="C21" s="2153"/>
      <c r="D21" s="2150"/>
      <c r="E21" s="2150"/>
      <c r="F21" s="2150"/>
      <c r="G21" s="2150"/>
      <c r="H21" s="2150"/>
      <c r="I21" s="2155"/>
      <c r="J21" s="2155"/>
      <c r="K21" s="2158"/>
      <c r="L21" s="2155"/>
      <c r="M21" s="2157"/>
      <c r="N21" s="2155"/>
      <c r="O21" s="2155"/>
      <c r="P21" s="2155"/>
      <c r="Q21" s="2155"/>
      <c r="R21" s="2155"/>
      <c r="S21" s="2155"/>
      <c r="T21" s="2155"/>
      <c r="U21" s="2155"/>
      <c r="V21" s="2155"/>
      <c r="W21" s="2161"/>
      <c r="X21" s="2155"/>
      <c r="Y21" s="2155"/>
      <c r="Z21" s="2155">
        <v>5097831</v>
      </c>
    </row>
    <row r="22" spans="1:28" ht="15" customHeight="1">
      <c r="A22" s="1442" t="s">
        <v>487</v>
      </c>
      <c r="B22" s="2150">
        <f t="shared" si="0"/>
        <v>0</v>
      </c>
      <c r="C22" s="2153"/>
      <c r="D22" s="2150"/>
      <c r="E22" s="2150"/>
      <c r="F22" s="2150"/>
      <c r="G22" s="2150"/>
      <c r="H22" s="2150"/>
      <c r="I22" s="2155"/>
      <c r="J22" s="2155"/>
      <c r="K22" s="2158"/>
      <c r="L22" s="2155"/>
      <c r="M22" s="2157"/>
      <c r="N22" s="2155"/>
      <c r="O22" s="2155"/>
      <c r="P22" s="2155"/>
      <c r="Q22" s="2155"/>
      <c r="R22" s="2155"/>
      <c r="S22" s="2155"/>
      <c r="T22" s="2155"/>
      <c r="U22" s="2155"/>
      <c r="V22" s="2155"/>
      <c r="W22" s="2161"/>
      <c r="X22" s="2155"/>
      <c r="Y22" s="2155"/>
      <c r="Z22" s="2155">
        <v>0</v>
      </c>
    </row>
    <row r="23" spans="1:28" ht="15" customHeight="1">
      <c r="A23" s="1442" t="s">
        <v>488</v>
      </c>
      <c r="B23" s="2150">
        <f t="shared" si="0"/>
        <v>45460</v>
      </c>
      <c r="C23" s="3110"/>
      <c r="D23" s="2150"/>
      <c r="E23" s="2150"/>
      <c r="F23" s="2150"/>
      <c r="G23" s="2150"/>
      <c r="H23" s="2150"/>
      <c r="I23" s="2155"/>
      <c r="J23" s="2155"/>
      <c r="K23" s="2155"/>
      <c r="L23" s="2155"/>
      <c r="M23" s="2157"/>
      <c r="N23" s="2155"/>
      <c r="O23" s="2155"/>
      <c r="P23" s="2155"/>
      <c r="Q23" s="2155"/>
      <c r="R23" s="2155"/>
      <c r="S23" s="2155"/>
      <c r="T23" s="2155"/>
      <c r="U23" s="2155"/>
      <c r="V23" s="2155"/>
      <c r="W23" s="2155"/>
      <c r="X23" s="2155"/>
      <c r="Y23" s="2155"/>
      <c r="Z23" s="2155">
        <v>45460</v>
      </c>
    </row>
    <row r="24" spans="1:28" s="2888" customFormat="1" ht="22.5" customHeight="1">
      <c r="A24" s="865" t="s">
        <v>152</v>
      </c>
      <c r="B24" s="3111">
        <f>ROUND(SUM(B15:B23),0)</f>
        <v>519560264</v>
      </c>
      <c r="C24" s="861"/>
      <c r="D24" s="3111">
        <f>ROUND(SUM(D15:D23),0)</f>
        <v>0</v>
      </c>
      <c r="E24" s="862"/>
      <c r="F24" s="3111">
        <f>ROUND(SUM(F15:F23),0)</f>
        <v>0</v>
      </c>
      <c r="G24" s="862"/>
      <c r="H24" s="3111">
        <f>ROUND(SUM(H15:H23),0)</f>
        <v>0</v>
      </c>
      <c r="I24" s="2893"/>
      <c r="J24" s="2855">
        <f>ROUND(SUM(J15:J23),0)</f>
        <v>0</v>
      </c>
      <c r="K24" s="864"/>
      <c r="L24" s="2855">
        <f>ROUND(SUM(L15:L23),0)</f>
        <v>0</v>
      </c>
      <c r="M24" s="867"/>
      <c r="N24" s="2855">
        <f>ROUND(SUM(N15:N23),0)</f>
        <v>0</v>
      </c>
      <c r="O24" s="2893"/>
      <c r="P24" s="2855">
        <f>ROUND(SUM(P15:P23),0)</f>
        <v>0</v>
      </c>
      <c r="Q24" s="2893"/>
      <c r="R24" s="2855">
        <f>ROUND(SUM(R15:R23),0)</f>
        <v>0</v>
      </c>
      <c r="S24" s="2893"/>
      <c r="T24" s="2855">
        <f>ROUND(SUM(T15:T23),0)</f>
        <v>0</v>
      </c>
      <c r="U24" s="2893"/>
      <c r="V24" s="2855">
        <f>ROUND(SUM(V15:V23),0)</f>
        <v>0</v>
      </c>
      <c r="W24" s="2893"/>
      <c r="X24" s="2855">
        <f>ROUND(SUM(X15:X23),0)</f>
        <v>0</v>
      </c>
      <c r="Y24" s="2893"/>
      <c r="Z24" s="863">
        <f>ROUND(SUM(Z15:Z23),0)</f>
        <v>519560264</v>
      </c>
      <c r="AB24" s="2894"/>
    </row>
    <row r="25" spans="1:28" ht="15" customHeight="1">
      <c r="A25" s="2889"/>
      <c r="B25" s="2150"/>
      <c r="C25" s="2151"/>
      <c r="D25" s="2150"/>
      <c r="E25" s="2150"/>
      <c r="F25" s="2150"/>
      <c r="G25" s="2150"/>
      <c r="H25" s="2150"/>
      <c r="I25" s="2155"/>
      <c r="J25" s="2155"/>
      <c r="K25" s="2155"/>
      <c r="L25" s="2155"/>
      <c r="M25" s="2157"/>
      <c r="N25" s="2155"/>
      <c r="O25" s="2155"/>
      <c r="P25" s="2155"/>
      <c r="Q25" s="2155"/>
      <c r="R25" s="2155"/>
      <c r="S25" s="2155"/>
      <c r="T25" s="2155"/>
      <c r="U25" s="2155"/>
      <c r="V25" s="2155"/>
      <c r="W25" s="2155"/>
      <c r="X25" s="2155"/>
      <c r="Y25" s="2155"/>
      <c r="Z25" s="2152"/>
    </row>
    <row r="26" spans="1:28" ht="15" customHeight="1">
      <c r="A26" s="865" t="s">
        <v>23</v>
      </c>
      <c r="B26" s="2150"/>
      <c r="C26" s="2151"/>
      <c r="D26" s="2150"/>
      <c r="E26" s="2150"/>
      <c r="F26" s="2150"/>
      <c r="G26" s="2150"/>
      <c r="H26" s="2150"/>
      <c r="I26" s="2155"/>
      <c r="J26" s="2155"/>
      <c r="K26" s="2155"/>
      <c r="L26" s="2155"/>
      <c r="M26" s="2157"/>
      <c r="N26" s="2155"/>
      <c r="O26" s="2155"/>
      <c r="P26" s="2155"/>
      <c r="Q26" s="2155"/>
      <c r="R26" s="2155"/>
      <c r="S26" s="2155"/>
      <c r="T26" s="2155"/>
      <c r="U26" s="2155"/>
      <c r="V26" s="2155"/>
      <c r="W26" s="2155"/>
      <c r="X26" s="2155"/>
      <c r="Y26" s="2155"/>
      <c r="Z26" s="2152"/>
    </row>
    <row r="27" spans="1:28" ht="15" customHeight="1">
      <c r="A27" s="1442" t="s">
        <v>489</v>
      </c>
      <c r="B27" s="2150">
        <f>$Z27</f>
        <v>342597291</v>
      </c>
      <c r="C27" s="2156"/>
      <c r="D27" s="2150"/>
      <c r="E27" s="2155"/>
      <c r="F27" s="2150"/>
      <c r="G27" s="2155"/>
      <c r="H27" s="2150"/>
      <c r="I27" s="2155"/>
      <c r="J27" s="2155"/>
      <c r="K27" s="2155"/>
      <c r="L27" s="2155"/>
      <c r="M27" s="2157"/>
      <c r="N27" s="2155"/>
      <c r="O27" s="2155"/>
      <c r="P27" s="2155"/>
      <c r="Q27" s="2155"/>
      <c r="R27" s="2155"/>
      <c r="S27" s="2155"/>
      <c r="T27" s="2155"/>
      <c r="U27" s="2155"/>
      <c r="V27" s="2155"/>
      <c r="W27" s="2155"/>
      <c r="X27" s="2155"/>
      <c r="Y27" s="2155"/>
      <c r="Z27" s="2155">
        <v>342597291</v>
      </c>
    </row>
    <row r="28" spans="1:28" ht="15" customHeight="1">
      <c r="A28" s="1442" t="s">
        <v>490</v>
      </c>
      <c r="B28" s="2150">
        <f t="shared" ref="B28:B31" si="1">$Z28</f>
        <v>1347</v>
      </c>
      <c r="C28" s="2156"/>
      <c r="D28" s="2150"/>
      <c r="E28" s="2155"/>
      <c r="F28" s="2150"/>
      <c r="G28" s="2155"/>
      <c r="H28" s="2150"/>
      <c r="I28" s="2155"/>
      <c r="J28" s="2155"/>
      <c r="K28" s="2155"/>
      <c r="L28" s="2155"/>
      <c r="M28" s="2157"/>
      <c r="N28" s="2155"/>
      <c r="O28" s="2155"/>
      <c r="P28" s="2155"/>
      <c r="Q28" s="2155"/>
      <c r="R28" s="2155"/>
      <c r="S28" s="2155"/>
      <c r="T28" s="2155"/>
      <c r="U28" s="2155"/>
      <c r="V28" s="2155"/>
      <c r="W28" s="2155"/>
      <c r="X28" s="2155"/>
      <c r="Y28" s="2155"/>
      <c r="Z28" s="2155">
        <v>1347</v>
      </c>
      <c r="AB28" s="2895"/>
    </row>
    <row r="29" spans="1:28" ht="15" customHeight="1">
      <c r="A29" s="1442" t="s">
        <v>491</v>
      </c>
      <c r="B29" s="2150">
        <f t="shared" si="1"/>
        <v>573967</v>
      </c>
      <c r="C29" s="2156"/>
      <c r="D29" s="2150"/>
      <c r="E29" s="2155"/>
      <c r="F29" s="2150"/>
      <c r="G29" s="2155"/>
      <c r="H29" s="2150"/>
      <c r="I29" s="2155"/>
      <c r="J29" s="2155"/>
      <c r="K29" s="2155"/>
      <c r="L29" s="2155"/>
      <c r="M29" s="2157"/>
      <c r="N29" s="2155"/>
      <c r="O29" s="2155"/>
      <c r="P29" s="2155"/>
      <c r="Q29" s="2155"/>
      <c r="R29" s="2155"/>
      <c r="S29" s="2155"/>
      <c r="T29" s="2155"/>
      <c r="U29" s="2155"/>
      <c r="V29" s="2155"/>
      <c r="W29" s="2155"/>
      <c r="X29" s="2155"/>
      <c r="Y29" s="2155"/>
      <c r="Z29" s="2155">
        <v>573967</v>
      </c>
    </row>
    <row r="30" spans="1:28" ht="15" customHeight="1">
      <c r="A30" s="1442" t="s">
        <v>492</v>
      </c>
      <c r="B30" s="2150">
        <f t="shared" si="1"/>
        <v>1786723.4</v>
      </c>
      <c r="C30" s="2156"/>
      <c r="D30" s="2150"/>
      <c r="E30" s="2155"/>
      <c r="F30" s="2150"/>
      <c r="G30" s="2155"/>
      <c r="H30" s="2150"/>
      <c r="I30" s="2155"/>
      <c r="J30" s="2155"/>
      <c r="K30" s="2155"/>
      <c r="L30" s="2155"/>
      <c r="M30" s="2157"/>
      <c r="N30" s="2155"/>
      <c r="O30" s="2155"/>
      <c r="P30" s="2155"/>
      <c r="Q30" s="2155"/>
      <c r="R30" s="2155"/>
      <c r="S30" s="2155"/>
      <c r="T30" s="2155"/>
      <c r="U30" s="2155"/>
      <c r="V30" s="2155"/>
      <c r="W30" s="2155"/>
      <c r="X30" s="2155"/>
      <c r="Y30" s="2155"/>
      <c r="Z30" s="2155">
        <v>1786723.4</v>
      </c>
    </row>
    <row r="31" spans="1:28" ht="15" customHeight="1">
      <c r="A31" s="1442" t="s">
        <v>493</v>
      </c>
      <c r="B31" s="2150">
        <f t="shared" si="1"/>
        <v>482663</v>
      </c>
      <c r="C31" s="2156"/>
      <c r="D31" s="2150"/>
      <c r="E31" s="2155"/>
      <c r="F31" s="2150"/>
      <c r="G31" s="2155"/>
      <c r="H31" s="2150"/>
      <c r="I31" s="2155"/>
      <c r="J31" s="2155"/>
      <c r="K31" s="2155"/>
      <c r="L31" s="2155"/>
      <c r="M31" s="2157"/>
      <c r="N31" s="2155"/>
      <c r="O31" s="2155"/>
      <c r="P31" s="2155"/>
      <c r="Q31" s="2155"/>
      <c r="R31" s="2155"/>
      <c r="S31" s="2155"/>
      <c r="T31" s="2155"/>
      <c r="U31" s="2155"/>
      <c r="V31" s="2155"/>
      <c r="W31" s="2155"/>
      <c r="X31" s="2155"/>
      <c r="Y31" s="2155"/>
      <c r="Z31" s="2155">
        <v>482663</v>
      </c>
    </row>
    <row r="32" spans="1:28" ht="22.5" customHeight="1">
      <c r="A32" s="865" t="s">
        <v>158</v>
      </c>
      <c r="B32" s="2855">
        <f>ROUND(SUM(B27:B31),0)</f>
        <v>345441991</v>
      </c>
      <c r="C32" s="2156"/>
      <c r="D32" s="2855">
        <f>ROUND(SUM(D27:D31),0)</f>
        <v>0</v>
      </c>
      <c r="E32" s="2155"/>
      <c r="F32" s="2855">
        <f>ROUND(SUM(F27:F31),0)</f>
        <v>0</v>
      </c>
      <c r="G32" s="2155"/>
      <c r="H32" s="2855">
        <f>ROUND(SUM(H27:H31),0)</f>
        <v>0</v>
      </c>
      <c r="I32" s="2155"/>
      <c r="J32" s="2855">
        <f>ROUND(SUM(J27:J31),0)</f>
        <v>0</v>
      </c>
      <c r="K32" s="2155"/>
      <c r="L32" s="2855">
        <f>ROUND(SUM(L27:L31),0)</f>
        <v>0</v>
      </c>
      <c r="M32" s="2157"/>
      <c r="N32" s="2855">
        <f>ROUND(SUM(N27:N31),0)</f>
        <v>0</v>
      </c>
      <c r="O32" s="2155"/>
      <c r="P32" s="2855">
        <f>ROUND(SUM(P27:P31),0)</f>
        <v>0</v>
      </c>
      <c r="Q32" s="2155"/>
      <c r="R32" s="2855">
        <f>ROUND(SUM(R27:R31),0)</f>
        <v>0</v>
      </c>
      <c r="S32" s="2155"/>
      <c r="T32" s="2855">
        <f>ROUND(SUM(T27:T31),0)</f>
        <v>0</v>
      </c>
      <c r="U32" s="2155"/>
      <c r="V32" s="2855">
        <f>ROUND(SUM(V27:V31),0)</f>
        <v>0</v>
      </c>
      <c r="W32" s="2155"/>
      <c r="X32" s="2855">
        <f>ROUND(SUM(X27:X31),0)</f>
        <v>0</v>
      </c>
      <c r="Y32" s="2155"/>
      <c r="Z32" s="863">
        <f>ROUND(SUM(Z27:Z31),0)</f>
        <v>345441991</v>
      </c>
    </row>
    <row r="33" spans="1:28" ht="15" customHeight="1">
      <c r="A33" s="865"/>
      <c r="B33" s="2155"/>
      <c r="C33" s="2156"/>
      <c r="D33" s="2155"/>
      <c r="E33" s="2155"/>
      <c r="F33" s="2161"/>
      <c r="G33" s="2155"/>
      <c r="H33" s="2161"/>
      <c r="I33" s="2155"/>
      <c r="J33" s="2155"/>
      <c r="K33" s="2155"/>
      <c r="L33" s="2155"/>
      <c r="M33" s="2157"/>
      <c r="N33" s="2155"/>
      <c r="O33" s="2155"/>
      <c r="P33" s="2155"/>
      <c r="Q33" s="2155"/>
      <c r="R33" s="2155"/>
      <c r="S33" s="2155"/>
      <c r="T33" s="2155"/>
      <c r="U33" s="2155"/>
      <c r="V33" s="2155"/>
      <c r="W33" s="2155"/>
      <c r="X33" s="2155"/>
      <c r="Y33" s="2155"/>
      <c r="Z33" s="2152"/>
    </row>
    <row r="34" spans="1:28" ht="15" customHeight="1">
      <c r="A34" s="866" t="s">
        <v>494</v>
      </c>
      <c r="B34" s="2161"/>
      <c r="C34" s="2162"/>
      <c r="D34" s="2161"/>
      <c r="E34" s="2155"/>
      <c r="F34" s="2160"/>
      <c r="G34" s="2155"/>
      <c r="H34" s="2161"/>
      <c r="I34" s="2155"/>
      <c r="J34" s="2161"/>
      <c r="K34" s="2155"/>
      <c r="L34" s="2161"/>
      <c r="M34" s="2157"/>
      <c r="N34" s="2161"/>
      <c r="O34" s="2155"/>
      <c r="P34" s="2161"/>
      <c r="Q34" s="2155"/>
      <c r="R34" s="2161"/>
      <c r="S34" s="2155"/>
      <c r="T34" s="2161"/>
      <c r="U34" s="2155"/>
      <c r="V34" s="2161"/>
      <c r="W34" s="2155"/>
      <c r="X34" s="2161"/>
      <c r="Y34" s="2155"/>
      <c r="Z34" s="2152"/>
    </row>
    <row r="35" spans="1:28" ht="15" customHeight="1">
      <c r="A35" s="1442" t="s">
        <v>495</v>
      </c>
      <c r="B35" s="2150">
        <f>$Z35</f>
        <v>0</v>
      </c>
      <c r="C35" s="2162"/>
      <c r="D35" s="2150"/>
      <c r="E35" s="2155"/>
      <c r="F35" s="2150"/>
      <c r="G35" s="2155"/>
      <c r="H35" s="2150"/>
      <c r="I35" s="2155"/>
      <c r="J35" s="2155"/>
      <c r="K35" s="2155"/>
      <c r="L35" s="2155"/>
      <c r="M35" s="2157"/>
      <c r="N35" s="2155"/>
      <c r="O35" s="2155"/>
      <c r="P35" s="2155"/>
      <c r="Q35" s="2155"/>
      <c r="R35" s="2155"/>
      <c r="S35" s="2155"/>
      <c r="T35" s="2155"/>
      <c r="U35" s="2155"/>
      <c r="V35" s="2155"/>
      <c r="W35" s="2155"/>
      <c r="X35" s="2155"/>
      <c r="Y35" s="2155"/>
      <c r="Z35" s="2155">
        <v>0</v>
      </c>
    </row>
    <row r="36" spans="1:28" ht="15" customHeight="1">
      <c r="A36" s="1442" t="s">
        <v>496</v>
      </c>
      <c r="B36" s="2150">
        <f t="shared" ref="B36:B41" si="2">$Z36</f>
        <v>0</v>
      </c>
      <c r="C36" s="2162"/>
      <c r="D36" s="2150"/>
      <c r="E36" s="2155"/>
      <c r="F36" s="2150"/>
      <c r="G36" s="2155"/>
      <c r="H36" s="2150"/>
      <c r="I36" s="2155"/>
      <c r="J36" s="2155"/>
      <c r="K36" s="2155"/>
      <c r="L36" s="2155"/>
      <c r="M36" s="2157"/>
      <c r="N36" s="2155"/>
      <c r="O36" s="2155"/>
      <c r="P36" s="2155"/>
      <c r="Q36" s="2155"/>
      <c r="R36" s="2155"/>
      <c r="S36" s="2155"/>
      <c r="T36" s="2155"/>
      <c r="U36" s="2155"/>
      <c r="V36" s="2155"/>
      <c r="W36" s="2155"/>
      <c r="X36" s="2155"/>
      <c r="Y36" s="2155"/>
      <c r="Z36" s="2155">
        <v>0</v>
      </c>
    </row>
    <row r="37" spans="1:28" ht="15" customHeight="1">
      <c r="A37" s="1442" t="s">
        <v>147</v>
      </c>
      <c r="B37" s="2150">
        <f t="shared" si="2"/>
        <v>0</v>
      </c>
      <c r="C37" s="2162"/>
      <c r="D37" s="2150"/>
      <c r="E37" s="2155"/>
      <c r="F37" s="2150"/>
      <c r="G37" s="2155"/>
      <c r="H37" s="2150"/>
      <c r="I37" s="2155"/>
      <c r="J37" s="2155"/>
      <c r="K37" s="2155"/>
      <c r="L37" s="2155"/>
      <c r="M37" s="2157"/>
      <c r="N37" s="2155"/>
      <c r="O37" s="2155"/>
      <c r="P37" s="2155"/>
      <c r="Q37" s="2155"/>
      <c r="R37" s="2155"/>
      <c r="S37" s="2155"/>
      <c r="T37" s="2155"/>
      <c r="U37" s="2155"/>
      <c r="V37" s="2155"/>
      <c r="W37" s="2155"/>
      <c r="X37" s="2155"/>
      <c r="Y37" s="2155"/>
      <c r="Z37" s="2155">
        <v>0</v>
      </c>
    </row>
    <row r="38" spans="1:28" ht="13.5" customHeight="1">
      <c r="A38" s="1442" t="s">
        <v>497</v>
      </c>
      <c r="B38" s="2150" t="s">
        <v>15</v>
      </c>
      <c r="C38" s="3113"/>
      <c r="D38" s="2150"/>
      <c r="E38" s="3113"/>
      <c r="F38" s="2150"/>
      <c r="G38" s="3113"/>
      <c r="H38" s="2150"/>
      <c r="I38" s="2896"/>
      <c r="J38" s="2155"/>
      <c r="K38" s="2896"/>
      <c r="L38" s="2155"/>
      <c r="M38" s="2157"/>
      <c r="N38" s="2155"/>
      <c r="O38" s="2896"/>
      <c r="P38" s="2155"/>
      <c r="Q38" s="2896"/>
      <c r="R38" s="2155"/>
      <c r="S38" s="2896"/>
      <c r="T38" s="2155"/>
      <c r="U38" s="2896"/>
      <c r="V38" s="2155"/>
      <c r="W38" s="2896"/>
      <c r="X38" s="2155"/>
      <c r="Y38" s="2896"/>
      <c r="Z38" s="2896"/>
    </row>
    <row r="39" spans="1:28" ht="13.5" customHeight="1">
      <c r="A39" s="1442" t="s">
        <v>498</v>
      </c>
      <c r="B39" s="2150">
        <f t="shared" si="2"/>
        <v>0</v>
      </c>
      <c r="C39" s="2162"/>
      <c r="D39" s="2150"/>
      <c r="E39" s="2155"/>
      <c r="F39" s="2150"/>
      <c r="G39" s="2155"/>
      <c r="H39" s="2150"/>
      <c r="I39" s="2155"/>
      <c r="J39" s="2155"/>
      <c r="K39" s="2155"/>
      <c r="L39" s="2155"/>
      <c r="M39" s="2157"/>
      <c r="N39" s="2155"/>
      <c r="O39" s="2155"/>
      <c r="P39" s="2155"/>
      <c r="Q39" s="2155"/>
      <c r="R39" s="2155"/>
      <c r="S39" s="2155"/>
      <c r="T39" s="2155"/>
      <c r="U39" s="2155"/>
      <c r="V39" s="2155"/>
      <c r="W39" s="2155"/>
      <c r="X39" s="2155"/>
      <c r="Y39" s="2155"/>
      <c r="Z39" s="2155">
        <v>0</v>
      </c>
    </row>
    <row r="40" spans="1:28" ht="13.5" customHeight="1">
      <c r="A40" s="1442" t="s">
        <v>499</v>
      </c>
      <c r="B40" s="2150">
        <f t="shared" si="2"/>
        <v>14237000</v>
      </c>
      <c r="C40" s="2162"/>
      <c r="D40" s="2150"/>
      <c r="E40" s="2155"/>
      <c r="F40" s="2150"/>
      <c r="G40" s="2155"/>
      <c r="H40" s="2150"/>
      <c r="I40" s="2155"/>
      <c r="J40" s="2155"/>
      <c r="K40" s="2155"/>
      <c r="L40" s="2155"/>
      <c r="M40" s="2157"/>
      <c r="N40" s="2155"/>
      <c r="O40" s="2155"/>
      <c r="P40" s="2155"/>
      <c r="Q40" s="2155"/>
      <c r="R40" s="2155"/>
      <c r="S40" s="2155"/>
      <c r="T40" s="2155"/>
      <c r="U40" s="2155"/>
      <c r="V40" s="2155"/>
      <c r="W40" s="2155"/>
      <c r="X40" s="2155"/>
      <c r="Y40" s="2155"/>
      <c r="Z40" s="2155">
        <v>14237000</v>
      </c>
    </row>
    <row r="41" spans="1:28" ht="15" customHeight="1">
      <c r="A41" s="1442" t="s">
        <v>500</v>
      </c>
      <c r="B41" s="2150">
        <f t="shared" si="2"/>
        <v>1089494</v>
      </c>
      <c r="C41" s="2162"/>
      <c r="D41" s="2150"/>
      <c r="E41" s="2155"/>
      <c r="F41" s="2150"/>
      <c r="G41" s="2155"/>
      <c r="H41" s="2150"/>
      <c r="I41" s="2155"/>
      <c r="J41" s="2155"/>
      <c r="K41" s="2155"/>
      <c r="L41" s="2155"/>
      <c r="M41" s="2157"/>
      <c r="N41" s="2155"/>
      <c r="O41" s="2155"/>
      <c r="P41" s="2155"/>
      <c r="Q41" s="2155"/>
      <c r="R41" s="2155"/>
      <c r="S41" s="2155"/>
      <c r="T41" s="2155"/>
      <c r="U41" s="2155"/>
      <c r="V41" s="2155"/>
      <c r="W41" s="2155"/>
      <c r="X41" s="2155"/>
      <c r="Y41" s="2155"/>
      <c r="Z41" s="2155">
        <v>1089494</v>
      </c>
    </row>
    <row r="42" spans="1:28" ht="22.5" customHeight="1">
      <c r="A42" s="865" t="s">
        <v>501</v>
      </c>
      <c r="B42" s="3114">
        <f>ROUND(SUM(B35:B41),0)</f>
        <v>15326494</v>
      </c>
      <c r="C42" s="2153"/>
      <c r="D42" s="3114">
        <f>ROUND(SUM(D35:D41),0)</f>
        <v>0</v>
      </c>
      <c r="E42" s="2150"/>
      <c r="F42" s="3114">
        <f>ROUND(SUM(F35:F41),0)</f>
        <v>0</v>
      </c>
      <c r="G42" s="2150"/>
      <c r="H42" s="3114">
        <f>ROUND(SUM(H35:H41),0)</f>
        <v>0</v>
      </c>
      <c r="I42" s="2155"/>
      <c r="J42" s="2897">
        <f>ROUND(SUM(J35:J41),0)</f>
        <v>0</v>
      </c>
      <c r="K42" s="2155"/>
      <c r="L42" s="2897">
        <f>ROUND(SUM(L35:L41),0)</f>
        <v>0</v>
      </c>
      <c r="M42" s="2157"/>
      <c r="N42" s="2897">
        <f>ROUND(SUM(N35:N41),0)</f>
        <v>0</v>
      </c>
      <c r="O42" s="2155"/>
      <c r="P42" s="2897">
        <f>ROUND(SUM(P35:P41),0)</f>
        <v>0</v>
      </c>
      <c r="Q42" s="2155"/>
      <c r="R42" s="2897">
        <f>ROUND(SUM(R35:R41),0)</f>
        <v>0</v>
      </c>
      <c r="S42" s="2155"/>
      <c r="T42" s="2897">
        <f>ROUND(SUM(T35:T41),0)</f>
        <v>0</v>
      </c>
      <c r="U42" s="2155"/>
      <c r="V42" s="2897">
        <f>ROUND(SUM(V35:V41),0)</f>
        <v>0</v>
      </c>
      <c r="W42" s="2155"/>
      <c r="X42" s="2897">
        <f>ROUND(SUM(X35:X41),0)</f>
        <v>0</v>
      </c>
      <c r="Y42" s="2155"/>
      <c r="Z42" s="2898">
        <f>ROUND(SUM(Z35:Z41),0)</f>
        <v>15326494</v>
      </c>
    </row>
    <row r="43" spans="1:28" ht="15" customHeight="1">
      <c r="B43" s="3115"/>
      <c r="C43" s="2153"/>
      <c r="D43" s="3115"/>
      <c r="E43" s="2150"/>
      <c r="F43" s="3116"/>
      <c r="G43" s="2150"/>
      <c r="H43" s="3115"/>
      <c r="I43" s="2155"/>
      <c r="J43" s="2899"/>
      <c r="K43" s="2155"/>
      <c r="L43" s="2899"/>
      <c r="M43" s="2157"/>
      <c r="N43" s="2899"/>
      <c r="O43" s="2155"/>
      <c r="P43" s="2899"/>
      <c r="Q43" s="2155"/>
      <c r="R43" s="2899"/>
      <c r="S43" s="2155"/>
      <c r="T43" s="2899"/>
      <c r="U43" s="2155"/>
      <c r="V43" s="2899"/>
      <c r="W43" s="2155"/>
      <c r="X43" s="2899"/>
      <c r="Y43" s="2155"/>
      <c r="Z43" s="2900"/>
    </row>
    <row r="44" spans="1:28" s="2888" customFormat="1" ht="20.25" customHeight="1">
      <c r="A44" s="865" t="s">
        <v>502</v>
      </c>
      <c r="B44" s="2164">
        <f>ROUND(B32+B42,0)</f>
        <v>360768485</v>
      </c>
      <c r="C44" s="861"/>
      <c r="D44" s="2164">
        <f>ROUND(D32+D42,0)</f>
        <v>0</v>
      </c>
      <c r="E44" s="862"/>
      <c r="F44" s="2164">
        <f>ROUND(F32+F42,0)</f>
        <v>0</v>
      </c>
      <c r="G44" s="862"/>
      <c r="H44" s="2164">
        <f>ROUND(H32+H42,0)</f>
        <v>0</v>
      </c>
      <c r="I44" s="2893"/>
      <c r="J44" s="2901">
        <f>ROUND(J32+J42,0)</f>
        <v>0</v>
      </c>
      <c r="K44" s="864"/>
      <c r="L44" s="2901">
        <f>ROUND(L32+L42,0)</f>
        <v>0</v>
      </c>
      <c r="M44" s="867"/>
      <c r="N44" s="2901">
        <f>ROUND(N32+N42,0)</f>
        <v>0</v>
      </c>
      <c r="O44" s="2893"/>
      <c r="P44" s="2901">
        <f>ROUND(P32+P42,0)</f>
        <v>0</v>
      </c>
      <c r="Q44" s="2893"/>
      <c r="R44" s="2901">
        <f>ROUND(R32+R42,0)</f>
        <v>0</v>
      </c>
      <c r="S44" s="2893"/>
      <c r="T44" s="2901">
        <f>ROUND(T32+T42,0)</f>
        <v>0</v>
      </c>
      <c r="U44" s="2893"/>
      <c r="V44" s="2901">
        <f>ROUND(V32+V42,0)</f>
        <v>0</v>
      </c>
      <c r="W44" s="2893"/>
      <c r="X44" s="2901">
        <f>ROUND(X32+X42,0)</f>
        <v>0</v>
      </c>
      <c r="Y44" s="2893"/>
      <c r="Z44" s="2901">
        <f>ROUND(Z32+Z42,0)</f>
        <v>360768485</v>
      </c>
      <c r="AB44" s="2894"/>
    </row>
    <row r="45" spans="1:28" ht="15" customHeight="1">
      <c r="A45" s="2889"/>
      <c r="B45" s="2148"/>
      <c r="C45" s="2148"/>
      <c r="D45" s="2148"/>
      <c r="E45" s="2147"/>
      <c r="F45" s="2148"/>
      <c r="G45" s="2147"/>
      <c r="H45" s="2148"/>
      <c r="I45" s="2157"/>
      <c r="J45" s="2890"/>
      <c r="K45" s="2890"/>
      <c r="L45" s="2890"/>
      <c r="M45" s="2157"/>
      <c r="N45" s="2890"/>
      <c r="O45" s="2157"/>
      <c r="P45" s="2890"/>
      <c r="Q45" s="2157"/>
      <c r="R45" s="2890"/>
      <c r="S45" s="2157"/>
      <c r="T45" s="2890"/>
      <c r="U45" s="2157"/>
      <c r="V45" s="2890"/>
      <c r="W45" s="2157"/>
      <c r="X45" s="2890"/>
      <c r="Y45" s="2157"/>
      <c r="Z45" s="2902"/>
    </row>
    <row r="46" spans="1:28" s="2888" customFormat="1" ht="20.25" customHeight="1" thickBot="1">
      <c r="A46" s="866" t="s">
        <v>503</v>
      </c>
      <c r="B46" s="2599">
        <f>ROUND(B12+B24-B44,0)</f>
        <v>173364071</v>
      </c>
      <c r="C46" s="856"/>
      <c r="D46" s="2599">
        <f>ROUND(D12+D24-D44,0)</f>
        <v>0</v>
      </c>
      <c r="E46" s="2145"/>
      <c r="F46" s="2599">
        <f>ROUND(F12+F24-F44,0)</f>
        <v>0</v>
      </c>
      <c r="G46" s="2145"/>
      <c r="H46" s="2599">
        <f>ROUND(H12+H24-H44,0)</f>
        <v>0</v>
      </c>
      <c r="I46" s="2887"/>
      <c r="J46" s="2903">
        <f>ROUND(J12+J24-J44,0)</f>
        <v>0</v>
      </c>
      <c r="K46" s="857"/>
      <c r="L46" s="2903">
        <f>ROUND(L12+L24-L44,0)</f>
        <v>0</v>
      </c>
      <c r="M46" s="867"/>
      <c r="N46" s="2903">
        <f>ROUND(N12+N24-N44,0)</f>
        <v>0</v>
      </c>
      <c r="O46" s="868"/>
      <c r="P46" s="2903">
        <f>ROUND(P12+P24-P44,0)</f>
        <v>0</v>
      </c>
      <c r="Q46" s="868"/>
      <c r="R46" s="2903">
        <f>ROUND(R12+R24-R44,0)</f>
        <v>0</v>
      </c>
      <c r="S46" s="868"/>
      <c r="T46" s="2903">
        <f>ROUND(T12+T24-T44,0)</f>
        <v>0</v>
      </c>
      <c r="U46" s="868"/>
      <c r="V46" s="2903">
        <f>ROUND(V12+V24-V44,0)</f>
        <v>0</v>
      </c>
      <c r="W46" s="868"/>
      <c r="X46" s="2903">
        <f>ROUND(X12+X24-X44,0)</f>
        <v>0</v>
      </c>
      <c r="Y46" s="868"/>
      <c r="Z46" s="2904">
        <f>ROUND(Z12+Z24-Z44,0)</f>
        <v>173364071</v>
      </c>
    </row>
    <row r="47" spans="1:28" ht="15" customHeight="1" thickTop="1">
      <c r="A47" s="2889"/>
      <c r="B47" s="2143"/>
      <c r="C47" s="2143"/>
      <c r="D47" s="2143"/>
      <c r="E47" s="2166"/>
      <c r="F47" s="2143"/>
      <c r="G47" s="2166"/>
      <c r="H47" s="2143"/>
      <c r="I47" s="2905"/>
      <c r="J47" s="2883"/>
      <c r="K47" s="2883"/>
      <c r="L47" s="2883"/>
      <c r="M47" s="2905"/>
      <c r="N47" s="2883"/>
      <c r="O47" s="2905"/>
      <c r="P47" s="2883"/>
      <c r="Q47" s="2905"/>
      <c r="R47" s="2883"/>
      <c r="S47" s="2905"/>
      <c r="T47" s="2883"/>
      <c r="U47" s="2905"/>
      <c r="V47" s="2883"/>
      <c r="W47" s="2905"/>
      <c r="X47" s="2883"/>
      <c r="Y47" s="2905"/>
      <c r="Z47" s="2902"/>
    </row>
    <row r="48" spans="1:28" ht="20.100000000000001" customHeight="1">
      <c r="A48" s="2906"/>
      <c r="B48" s="2167"/>
      <c r="C48" s="2167"/>
      <c r="D48" s="2167"/>
      <c r="E48" s="2144"/>
      <c r="F48" s="2167"/>
      <c r="G48" s="2144"/>
      <c r="H48" s="2167"/>
      <c r="I48" s="2884"/>
      <c r="J48" s="2907"/>
      <c r="K48" s="2907"/>
      <c r="L48" s="2907"/>
      <c r="M48" s="2884"/>
      <c r="N48" s="2907"/>
      <c r="O48" s="2884"/>
      <c r="P48" s="2907"/>
      <c r="Q48" s="2884"/>
      <c r="R48" s="2907"/>
      <c r="S48" s="2884"/>
      <c r="T48" s="2907"/>
      <c r="U48" s="2884"/>
      <c r="V48" s="2907"/>
      <c r="W48" s="2884"/>
      <c r="X48" s="2907"/>
      <c r="Y48" s="2884"/>
      <c r="Z48" s="2891"/>
    </row>
    <row r="50" spans="1:26" ht="18" customHeight="1">
      <c r="A50" s="2908"/>
      <c r="B50" s="2139"/>
      <c r="C50" s="2139"/>
      <c r="D50" s="2139"/>
      <c r="E50" s="837"/>
      <c r="F50" s="2139"/>
      <c r="G50" s="837"/>
      <c r="H50" s="2139"/>
      <c r="I50" s="2861"/>
      <c r="J50" s="2865"/>
      <c r="K50" s="2865"/>
      <c r="L50" s="2865"/>
      <c r="M50" s="2884"/>
      <c r="N50" s="2865"/>
      <c r="O50" s="2861"/>
      <c r="P50" s="2865"/>
      <c r="Q50" s="2861"/>
      <c r="R50" s="2865"/>
      <c r="S50" s="2861"/>
      <c r="T50" s="2865"/>
      <c r="U50" s="2861"/>
      <c r="V50" s="2865"/>
      <c r="W50" s="2861"/>
      <c r="X50" s="2865"/>
      <c r="Y50" s="2861"/>
      <c r="Z50" s="2867"/>
    </row>
    <row r="51" spans="1:26" ht="20.100000000000001" customHeight="1">
      <c r="A51" s="2876"/>
      <c r="B51" s="2167"/>
      <c r="C51" s="2167"/>
      <c r="D51" s="2167"/>
      <c r="E51" s="2144"/>
      <c r="F51" s="2167"/>
      <c r="G51" s="2144"/>
      <c r="H51" s="2167"/>
      <c r="I51" s="2884"/>
      <c r="J51" s="2907"/>
      <c r="K51" s="2907"/>
      <c r="L51" s="2907"/>
      <c r="M51" s="2884"/>
      <c r="N51" s="2907"/>
      <c r="O51" s="2884"/>
      <c r="P51" s="2907"/>
      <c r="Q51" s="2884"/>
      <c r="R51" s="2907"/>
      <c r="S51" s="2884"/>
      <c r="T51" s="2907"/>
      <c r="U51" s="2884"/>
      <c r="V51" s="2907"/>
      <c r="W51" s="2884"/>
      <c r="X51" s="2907"/>
      <c r="Y51" s="2884"/>
      <c r="Z51" s="2891"/>
    </row>
    <row r="52" spans="1:26" ht="20.100000000000001" customHeight="1">
      <c r="A52" s="2876"/>
      <c r="B52" s="2167"/>
      <c r="C52" s="2167"/>
      <c r="D52" s="2167"/>
      <c r="E52" s="2144"/>
      <c r="F52" s="2167"/>
      <c r="G52" s="2144"/>
      <c r="H52" s="2167"/>
      <c r="I52" s="2884"/>
      <c r="J52" s="2907"/>
      <c r="K52" s="2907"/>
      <c r="L52" s="2907"/>
      <c r="M52" s="2884"/>
      <c r="N52" s="2907"/>
      <c r="O52" s="2884"/>
      <c r="P52" s="2907"/>
      <c r="Q52" s="2884"/>
      <c r="R52" s="2907"/>
      <c r="S52" s="2884"/>
      <c r="T52" s="2907"/>
      <c r="U52" s="2884"/>
      <c r="V52" s="2907"/>
      <c r="W52" s="2884"/>
      <c r="X52" s="2907"/>
      <c r="Y52" s="2884"/>
      <c r="Z52" s="2891"/>
    </row>
    <row r="53" spans="1:26" ht="20.100000000000001" customHeight="1">
      <c r="A53" s="2873"/>
      <c r="B53" s="836"/>
      <c r="C53" s="836"/>
      <c r="D53" s="836"/>
      <c r="E53" s="837"/>
      <c r="F53" s="836"/>
      <c r="G53" s="837"/>
      <c r="H53" s="836"/>
      <c r="I53" s="2861"/>
      <c r="J53" s="2860"/>
      <c r="K53" s="2860"/>
      <c r="L53" s="2860"/>
      <c r="M53" s="2861"/>
      <c r="N53" s="2860"/>
      <c r="O53" s="2861"/>
      <c r="P53" s="2860"/>
      <c r="Q53" s="2861"/>
      <c r="R53" s="2860"/>
      <c r="S53" s="2861"/>
      <c r="T53" s="2860"/>
      <c r="U53" s="2861"/>
      <c r="V53" s="2860"/>
      <c r="W53" s="2861"/>
      <c r="X53" s="2860"/>
      <c r="Y53" s="2861"/>
      <c r="Z53" s="2909"/>
    </row>
    <row r="54" spans="1:26" ht="20.100000000000001" customHeight="1">
      <c r="A54" s="2873"/>
      <c r="B54" s="836"/>
      <c r="C54" s="836"/>
      <c r="D54" s="836"/>
      <c r="E54" s="837"/>
      <c r="F54" s="836"/>
      <c r="G54" s="837"/>
      <c r="H54" s="836"/>
      <c r="I54" s="2861"/>
      <c r="J54" s="2860"/>
      <c r="K54" s="2860"/>
      <c r="L54" s="2860"/>
      <c r="M54" s="2861"/>
      <c r="N54" s="2860"/>
      <c r="O54" s="2861"/>
      <c r="P54" s="2860"/>
      <c r="Q54" s="2861"/>
      <c r="R54" s="2860"/>
      <c r="S54" s="2861"/>
      <c r="T54" s="2860"/>
      <c r="U54" s="2861"/>
      <c r="V54" s="2860"/>
      <c r="W54" s="2861"/>
      <c r="X54" s="2860"/>
      <c r="Y54" s="2861"/>
      <c r="Z54" s="2909"/>
    </row>
    <row r="55" spans="1:26" ht="20.100000000000001" customHeight="1">
      <c r="A55" s="2873"/>
      <c r="B55" s="836"/>
      <c r="C55" s="836"/>
      <c r="D55" s="836"/>
      <c r="E55" s="837"/>
      <c r="F55" s="836"/>
      <c r="G55" s="837"/>
      <c r="H55" s="836"/>
      <c r="I55" s="2861"/>
      <c r="J55" s="2860"/>
      <c r="K55" s="2860"/>
      <c r="L55" s="2860"/>
      <c r="M55" s="2861"/>
      <c r="N55" s="2860"/>
      <c r="O55" s="2861"/>
      <c r="P55" s="2860"/>
      <c r="Q55" s="2861"/>
      <c r="R55" s="2860"/>
      <c r="S55" s="2861"/>
      <c r="T55" s="2860"/>
      <c r="U55" s="2861"/>
      <c r="V55" s="2860"/>
      <c r="W55" s="2861"/>
      <c r="X55" s="2860"/>
      <c r="Y55" s="2861"/>
      <c r="Z55" s="2909"/>
    </row>
    <row r="56" spans="1:26" ht="20.100000000000001" customHeight="1">
      <c r="A56" s="2873"/>
      <c r="B56" s="836"/>
      <c r="C56" s="836"/>
      <c r="D56" s="836"/>
      <c r="E56" s="837"/>
      <c r="F56" s="836"/>
      <c r="G56" s="837"/>
      <c r="H56" s="836"/>
      <c r="I56" s="2861"/>
      <c r="J56" s="2860"/>
      <c r="K56" s="2860"/>
      <c r="L56" s="2860"/>
      <c r="M56" s="2861"/>
      <c r="N56" s="2860"/>
      <c r="O56" s="2861"/>
      <c r="P56" s="2860"/>
      <c r="Q56" s="2861"/>
      <c r="R56" s="2860"/>
      <c r="S56" s="2861"/>
      <c r="T56" s="2860"/>
      <c r="U56" s="2861"/>
      <c r="V56" s="2860"/>
      <c r="W56" s="2861"/>
      <c r="X56" s="2860"/>
      <c r="Y56" s="2861"/>
      <c r="Z56" s="2909"/>
    </row>
    <row r="57" spans="1:26" ht="20.100000000000001" customHeight="1">
      <c r="A57" s="2873"/>
      <c r="B57" s="836"/>
      <c r="C57" s="836"/>
      <c r="D57" s="836"/>
      <c r="E57" s="837"/>
      <c r="F57" s="836"/>
      <c r="G57" s="837"/>
      <c r="H57" s="836"/>
      <c r="I57" s="2861"/>
      <c r="J57" s="2860"/>
      <c r="K57" s="2860"/>
      <c r="L57" s="2860"/>
      <c r="M57" s="2861"/>
      <c r="N57" s="2860"/>
      <c r="O57" s="2861"/>
      <c r="P57" s="2860"/>
      <c r="Q57" s="2861"/>
      <c r="R57" s="2860"/>
      <c r="S57" s="2861"/>
      <c r="T57" s="2860"/>
      <c r="U57" s="2861"/>
      <c r="V57" s="2860"/>
      <c r="W57" s="2861"/>
      <c r="X57" s="2860"/>
      <c r="Y57" s="2861"/>
      <c r="Z57" s="2909"/>
    </row>
    <row r="58" spans="1:26">
      <c r="A58" s="2873"/>
      <c r="B58" s="836"/>
      <c r="C58" s="836"/>
      <c r="D58" s="836"/>
      <c r="E58" s="837"/>
      <c r="F58" s="836"/>
      <c r="G58" s="837"/>
      <c r="H58" s="836"/>
      <c r="I58" s="2861"/>
      <c r="J58" s="2860"/>
      <c r="K58" s="2860"/>
      <c r="L58" s="2860"/>
      <c r="M58" s="2861"/>
      <c r="N58" s="2860"/>
      <c r="O58" s="2861"/>
      <c r="P58" s="2860"/>
      <c r="Q58" s="2861"/>
      <c r="R58" s="2860"/>
      <c r="S58" s="2861"/>
      <c r="T58" s="2860"/>
      <c r="U58" s="2861"/>
      <c r="V58" s="2860"/>
      <c r="W58" s="2861"/>
      <c r="X58" s="2860"/>
      <c r="Y58" s="2861"/>
      <c r="Z58" s="2909"/>
    </row>
    <row r="59" spans="1:26">
      <c r="A59" s="2873"/>
      <c r="B59" s="836"/>
      <c r="C59" s="836"/>
      <c r="D59" s="836"/>
      <c r="E59" s="837"/>
      <c r="F59" s="836"/>
      <c r="G59" s="837"/>
      <c r="H59" s="836"/>
      <c r="I59" s="2861"/>
      <c r="J59" s="2860"/>
      <c r="K59" s="2860"/>
      <c r="L59" s="2860"/>
      <c r="M59" s="2861"/>
      <c r="N59" s="2860"/>
      <c r="O59" s="2861"/>
      <c r="P59" s="2860"/>
      <c r="Q59" s="2861"/>
      <c r="R59" s="2860"/>
      <c r="S59" s="2861"/>
      <c r="T59" s="2860"/>
      <c r="U59" s="2861"/>
      <c r="V59" s="2860"/>
      <c r="W59" s="2861"/>
      <c r="X59" s="2860"/>
      <c r="Y59" s="2861"/>
      <c r="Z59" s="2909"/>
    </row>
    <row r="60" spans="1:26">
      <c r="A60" s="2873"/>
      <c r="B60" s="836"/>
      <c r="C60" s="836"/>
      <c r="D60" s="836"/>
      <c r="E60" s="837"/>
      <c r="F60" s="836"/>
      <c r="G60" s="837"/>
      <c r="H60" s="836"/>
      <c r="I60" s="2861"/>
      <c r="J60" s="2860"/>
      <c r="K60" s="2860"/>
      <c r="L60" s="2860"/>
      <c r="M60" s="2861"/>
      <c r="N60" s="2860"/>
      <c r="O60" s="2861"/>
      <c r="P60" s="2860"/>
      <c r="Q60" s="2861"/>
      <c r="R60" s="2860"/>
      <c r="S60" s="2861"/>
      <c r="T60" s="2860"/>
      <c r="U60" s="2861"/>
      <c r="V60" s="2860"/>
      <c r="W60" s="2861"/>
      <c r="X60" s="2860"/>
      <c r="Y60" s="2861"/>
      <c r="Z60" s="2909"/>
    </row>
    <row r="61" spans="1:26">
      <c r="A61" s="2873"/>
      <c r="B61" s="836"/>
      <c r="C61" s="836"/>
      <c r="D61" s="836"/>
      <c r="E61" s="837"/>
      <c r="F61" s="836"/>
      <c r="G61" s="837"/>
      <c r="H61" s="836"/>
      <c r="I61" s="2861"/>
      <c r="J61" s="2860"/>
      <c r="K61" s="2860"/>
      <c r="L61" s="2860"/>
      <c r="M61" s="2861"/>
      <c r="N61" s="2860"/>
      <c r="O61" s="2861"/>
      <c r="P61" s="2860"/>
      <c r="Q61" s="2861"/>
      <c r="R61" s="2860"/>
      <c r="S61" s="2861"/>
      <c r="T61" s="2860"/>
      <c r="U61" s="2861"/>
      <c r="V61" s="2860"/>
      <c r="W61" s="2861"/>
      <c r="X61" s="2860"/>
      <c r="Y61" s="2861"/>
      <c r="Z61" s="2909"/>
    </row>
    <row r="62" spans="1:26">
      <c r="A62" s="2873"/>
      <c r="B62" s="836"/>
      <c r="C62" s="836"/>
      <c r="D62" s="836"/>
      <c r="E62" s="837"/>
      <c r="F62" s="836"/>
      <c r="G62" s="837"/>
      <c r="H62" s="836"/>
      <c r="I62" s="2861"/>
      <c r="J62" s="2860"/>
      <c r="K62" s="2860"/>
      <c r="L62" s="2860"/>
      <c r="M62" s="2861"/>
      <c r="N62" s="2860"/>
      <c r="O62" s="2861"/>
      <c r="P62" s="2860"/>
      <c r="Q62" s="2861"/>
      <c r="R62" s="2860"/>
      <c r="S62" s="2861"/>
      <c r="T62" s="2860"/>
      <c r="U62" s="2861"/>
      <c r="V62" s="2860"/>
      <c r="W62" s="2861"/>
      <c r="X62" s="2860"/>
      <c r="Y62" s="2861"/>
      <c r="Z62" s="2909"/>
    </row>
    <row r="63" spans="1:26">
      <c r="A63" s="2873"/>
      <c r="B63" s="836"/>
      <c r="C63" s="836"/>
      <c r="D63" s="836"/>
      <c r="E63" s="837"/>
      <c r="F63" s="836"/>
      <c r="G63" s="837"/>
      <c r="H63" s="836"/>
      <c r="I63" s="2861"/>
      <c r="J63" s="2860"/>
      <c r="K63" s="2860"/>
      <c r="L63" s="2860"/>
      <c r="M63" s="2861"/>
      <c r="N63" s="2860"/>
      <c r="O63" s="2861"/>
      <c r="P63" s="2860"/>
      <c r="Q63" s="2861"/>
      <c r="R63" s="2860"/>
      <c r="S63" s="2861"/>
      <c r="T63" s="2860"/>
      <c r="U63" s="2861"/>
      <c r="V63" s="2860"/>
      <c r="W63" s="2861"/>
      <c r="X63" s="2860"/>
      <c r="Y63" s="2861"/>
      <c r="Z63" s="2909"/>
    </row>
    <row r="64" spans="1:26">
      <c r="A64" s="2873"/>
      <c r="B64" s="836"/>
      <c r="C64" s="836"/>
      <c r="D64" s="836"/>
      <c r="E64" s="837"/>
      <c r="F64" s="836"/>
      <c r="G64" s="837"/>
      <c r="H64" s="836"/>
      <c r="I64" s="2861"/>
      <c r="J64" s="2860"/>
      <c r="K64" s="2860"/>
      <c r="L64" s="2860"/>
      <c r="M64" s="2861"/>
      <c r="N64" s="2860"/>
      <c r="O64" s="2861"/>
      <c r="P64" s="2860"/>
      <c r="Q64" s="2861"/>
      <c r="R64" s="2860"/>
      <c r="S64" s="2861"/>
      <c r="T64" s="2860"/>
      <c r="U64" s="2861"/>
      <c r="V64" s="2860"/>
      <c r="W64" s="2861"/>
      <c r="X64" s="2860"/>
      <c r="Y64" s="2861"/>
      <c r="Z64" s="2909"/>
    </row>
    <row r="65" spans="1:26">
      <c r="A65" s="2873"/>
      <c r="B65" s="836"/>
      <c r="C65" s="836"/>
      <c r="D65" s="836"/>
      <c r="E65" s="837"/>
      <c r="F65" s="836"/>
      <c r="G65" s="837"/>
      <c r="H65" s="836"/>
      <c r="I65" s="2861"/>
      <c r="J65" s="2860"/>
      <c r="K65" s="2860"/>
      <c r="L65" s="2860"/>
      <c r="M65" s="2861"/>
      <c r="N65" s="2860"/>
      <c r="O65" s="2861"/>
      <c r="P65" s="2860"/>
      <c r="Q65" s="2861"/>
      <c r="R65" s="2860"/>
      <c r="S65" s="2861"/>
      <c r="T65" s="2860"/>
      <c r="U65" s="2861"/>
      <c r="V65" s="2860"/>
      <c r="W65" s="2861"/>
      <c r="X65" s="2860"/>
      <c r="Y65" s="2861"/>
      <c r="Z65" s="2909"/>
    </row>
    <row r="66" spans="1:26">
      <c r="A66" s="2873"/>
      <c r="B66" s="836"/>
      <c r="C66" s="836"/>
      <c r="D66" s="836"/>
      <c r="E66" s="837"/>
      <c r="F66" s="836"/>
      <c r="G66" s="837"/>
      <c r="H66" s="836"/>
      <c r="I66" s="2861"/>
      <c r="J66" s="2860"/>
      <c r="K66" s="2860"/>
      <c r="L66" s="2860"/>
      <c r="M66" s="2861"/>
      <c r="N66" s="2860"/>
      <c r="O66" s="2861"/>
      <c r="P66" s="2860"/>
      <c r="Q66" s="2861"/>
      <c r="R66" s="2860"/>
      <c r="S66" s="2861"/>
      <c r="T66" s="2860"/>
      <c r="U66" s="2861"/>
      <c r="V66" s="2860"/>
      <c r="W66" s="2861"/>
      <c r="X66" s="2860"/>
      <c r="Y66" s="2861"/>
      <c r="Z66" s="2909"/>
    </row>
    <row r="67" spans="1:26">
      <c r="A67" s="2873"/>
      <c r="B67" s="836"/>
      <c r="C67" s="836"/>
      <c r="D67" s="836"/>
      <c r="E67" s="837"/>
      <c r="F67" s="836"/>
      <c r="G67" s="837"/>
      <c r="H67" s="836"/>
      <c r="I67" s="2861"/>
      <c r="J67" s="2860"/>
      <c r="K67" s="2860"/>
      <c r="L67" s="2860"/>
      <c r="M67" s="2861"/>
      <c r="N67" s="2860"/>
      <c r="O67" s="2861"/>
      <c r="P67" s="2860"/>
      <c r="Q67" s="2861"/>
      <c r="R67" s="2860"/>
      <c r="S67" s="2861"/>
      <c r="T67" s="2860"/>
      <c r="U67" s="2861"/>
      <c r="V67" s="2860"/>
      <c r="W67" s="2861"/>
      <c r="X67" s="2860"/>
      <c r="Y67" s="2861"/>
      <c r="Z67" s="2909"/>
    </row>
    <row r="68" spans="1:26">
      <c r="A68" s="2873"/>
      <c r="B68" s="836"/>
      <c r="C68" s="836"/>
      <c r="D68" s="836"/>
      <c r="E68" s="837"/>
      <c r="F68" s="836"/>
      <c r="G68" s="837"/>
      <c r="H68" s="836"/>
      <c r="I68" s="2861"/>
      <c r="J68" s="2860"/>
      <c r="K68" s="2860"/>
      <c r="L68" s="2860"/>
      <c r="M68" s="2861"/>
      <c r="N68" s="2860"/>
      <c r="O68" s="2861"/>
      <c r="P68" s="2860"/>
      <c r="Q68" s="2861"/>
      <c r="R68" s="2860"/>
      <c r="S68" s="2861"/>
      <c r="T68" s="2860"/>
      <c r="U68" s="2861"/>
      <c r="V68" s="2860"/>
      <c r="W68" s="2861"/>
      <c r="X68" s="2860"/>
      <c r="Y68" s="2861"/>
      <c r="Z68" s="2909"/>
    </row>
    <row r="69" spans="1:26">
      <c r="A69" s="2873"/>
      <c r="B69" s="836"/>
      <c r="C69" s="836"/>
      <c r="D69" s="836"/>
      <c r="E69" s="837"/>
      <c r="F69" s="836"/>
      <c r="G69" s="837"/>
      <c r="H69" s="836"/>
      <c r="I69" s="2861"/>
      <c r="J69" s="2860"/>
      <c r="K69" s="2860"/>
      <c r="L69" s="2860"/>
      <c r="M69" s="2861"/>
      <c r="N69" s="2860"/>
      <c r="O69" s="2861"/>
      <c r="P69" s="2860"/>
      <c r="Q69" s="2861"/>
      <c r="R69" s="2860"/>
      <c r="S69" s="2861"/>
      <c r="T69" s="2860"/>
      <c r="U69" s="2861"/>
      <c r="V69" s="2860"/>
      <c r="W69" s="2861"/>
      <c r="X69" s="2860"/>
      <c r="Y69" s="2861"/>
      <c r="Z69" s="2909"/>
    </row>
    <row r="70" spans="1:26">
      <c r="A70" s="2873"/>
      <c r="B70" s="836"/>
      <c r="C70" s="836"/>
      <c r="D70" s="836"/>
      <c r="E70" s="837"/>
      <c r="F70" s="836"/>
      <c r="G70" s="837"/>
      <c r="H70" s="836"/>
      <c r="I70" s="2861"/>
      <c r="J70" s="2860"/>
      <c r="K70" s="2860"/>
      <c r="L70" s="2860"/>
      <c r="M70" s="2861"/>
      <c r="N70" s="2860"/>
      <c r="O70" s="2861"/>
      <c r="P70" s="2860"/>
      <c r="Q70" s="2861"/>
      <c r="R70" s="2860"/>
      <c r="S70" s="2861"/>
      <c r="T70" s="2860"/>
      <c r="U70" s="2861"/>
      <c r="V70" s="2860"/>
      <c r="W70" s="2861"/>
      <c r="X70" s="2860"/>
      <c r="Y70" s="2861"/>
      <c r="Z70" s="2909"/>
    </row>
    <row r="71" spans="1:26">
      <c r="A71" s="2873"/>
      <c r="B71" s="836"/>
      <c r="C71" s="836"/>
      <c r="D71" s="836"/>
      <c r="E71" s="837"/>
      <c r="F71" s="836"/>
      <c r="G71" s="837"/>
      <c r="H71" s="836"/>
      <c r="I71" s="2861"/>
      <c r="J71" s="2860"/>
      <c r="K71" s="2860"/>
      <c r="L71" s="2860"/>
      <c r="M71" s="2861"/>
      <c r="N71" s="2860"/>
      <c r="O71" s="2861"/>
      <c r="P71" s="2860"/>
      <c r="Q71" s="2861"/>
      <c r="R71" s="2860"/>
      <c r="S71" s="2861"/>
      <c r="T71" s="2860"/>
      <c r="U71" s="2861"/>
      <c r="V71" s="2860"/>
      <c r="W71" s="2861"/>
      <c r="X71" s="2860"/>
      <c r="Y71" s="2861"/>
      <c r="Z71" s="2909"/>
    </row>
    <row r="72" spans="1:26">
      <c r="A72" s="2873"/>
      <c r="B72" s="836"/>
      <c r="C72" s="836"/>
      <c r="D72" s="836"/>
      <c r="E72" s="837"/>
      <c r="F72" s="836"/>
      <c r="G72" s="837"/>
      <c r="H72" s="836"/>
      <c r="I72" s="2861"/>
      <c r="J72" s="2860"/>
      <c r="K72" s="2860"/>
      <c r="L72" s="2860"/>
      <c r="M72" s="2861"/>
      <c r="N72" s="2860"/>
      <c r="O72" s="2861"/>
      <c r="P72" s="2860"/>
      <c r="Q72" s="2861"/>
      <c r="R72" s="2860"/>
      <c r="S72" s="2861"/>
      <c r="T72" s="2860"/>
      <c r="U72" s="2861"/>
      <c r="V72" s="2860"/>
      <c r="W72" s="2861"/>
      <c r="X72" s="2860"/>
      <c r="Y72" s="2861"/>
      <c r="Z72" s="2909"/>
    </row>
    <row r="73" spans="1:26">
      <c r="A73" s="2873"/>
      <c r="B73" s="836"/>
      <c r="C73" s="836"/>
      <c r="D73" s="836"/>
      <c r="E73" s="837"/>
      <c r="F73" s="836"/>
      <c r="G73" s="837"/>
      <c r="H73" s="836"/>
      <c r="I73" s="2861"/>
      <c r="J73" s="2860"/>
      <c r="K73" s="2860"/>
      <c r="L73" s="2860"/>
      <c r="M73" s="2861"/>
      <c r="N73" s="2860"/>
      <c r="O73" s="2861"/>
      <c r="P73" s="2860"/>
      <c r="Q73" s="2861"/>
      <c r="R73" s="2860"/>
      <c r="S73" s="2861"/>
      <c r="T73" s="2860"/>
      <c r="U73" s="2861"/>
      <c r="V73" s="2860"/>
      <c r="W73" s="2861"/>
      <c r="X73" s="2860"/>
      <c r="Y73" s="2861"/>
      <c r="Z73" s="2909"/>
    </row>
    <row r="74" spans="1:26">
      <c r="A74" s="2873"/>
      <c r="B74" s="836"/>
      <c r="C74" s="836"/>
      <c r="D74" s="836"/>
      <c r="E74" s="837"/>
      <c r="F74" s="836"/>
      <c r="G74" s="837"/>
      <c r="H74" s="836"/>
      <c r="I74" s="2861"/>
      <c r="J74" s="2860"/>
      <c r="K74" s="2860"/>
      <c r="L74" s="2860"/>
      <c r="M74" s="2861"/>
      <c r="N74" s="2860"/>
      <c r="O74" s="2861"/>
      <c r="P74" s="2860"/>
      <c r="Q74" s="2861"/>
      <c r="R74" s="2860"/>
      <c r="S74" s="2861"/>
      <c r="T74" s="2860"/>
      <c r="U74" s="2861"/>
      <c r="V74" s="2860"/>
      <c r="W74" s="2861"/>
      <c r="X74" s="2860"/>
      <c r="Y74" s="2861"/>
      <c r="Z74" s="2909"/>
    </row>
    <row r="75" spans="1:26">
      <c r="A75" s="2873"/>
      <c r="B75" s="836"/>
      <c r="C75" s="836"/>
      <c r="D75" s="836"/>
      <c r="E75" s="837"/>
      <c r="F75" s="836"/>
      <c r="G75" s="837"/>
      <c r="H75" s="836"/>
      <c r="I75" s="2861"/>
      <c r="J75" s="2860"/>
      <c r="K75" s="2860"/>
      <c r="L75" s="2860"/>
      <c r="M75" s="2861"/>
      <c r="N75" s="2860"/>
      <c r="O75" s="2861"/>
      <c r="P75" s="2860"/>
      <c r="Q75" s="2861"/>
      <c r="R75" s="2860"/>
      <c r="S75" s="2861"/>
      <c r="T75" s="2860"/>
      <c r="U75" s="2861"/>
      <c r="V75" s="2860"/>
      <c r="W75" s="2861"/>
      <c r="X75" s="2860"/>
      <c r="Y75" s="2861"/>
      <c r="Z75" s="2909"/>
    </row>
    <row r="76" spans="1:26">
      <c r="A76" s="2873"/>
      <c r="B76" s="836"/>
      <c r="C76" s="836"/>
      <c r="D76" s="836"/>
      <c r="E76" s="837"/>
      <c r="F76" s="836"/>
      <c r="G76" s="837"/>
      <c r="H76" s="836"/>
      <c r="I76" s="2861"/>
      <c r="J76" s="2860"/>
      <c r="K76" s="2860"/>
      <c r="L76" s="2860"/>
      <c r="M76" s="2861"/>
      <c r="N76" s="2860"/>
      <c r="O76" s="2861"/>
      <c r="P76" s="2860"/>
      <c r="Q76" s="2861"/>
      <c r="R76" s="2860"/>
      <c r="S76" s="2861"/>
      <c r="T76" s="2860"/>
      <c r="U76" s="2861"/>
      <c r="V76" s="2860"/>
      <c r="W76" s="2861"/>
      <c r="X76" s="2860"/>
      <c r="Y76" s="2861"/>
      <c r="Z76" s="2909"/>
    </row>
    <row r="77" spans="1:26">
      <c r="A77" s="2873"/>
      <c r="B77" s="836"/>
      <c r="C77" s="836"/>
      <c r="D77" s="836"/>
      <c r="E77" s="837"/>
      <c r="F77" s="836"/>
      <c r="G77" s="837"/>
      <c r="H77" s="836"/>
      <c r="I77" s="2861"/>
      <c r="J77" s="2860"/>
      <c r="K77" s="2860"/>
      <c r="L77" s="2860"/>
      <c r="M77" s="2861"/>
      <c r="N77" s="2860"/>
      <c r="O77" s="2861"/>
      <c r="P77" s="2860"/>
      <c r="Q77" s="2861"/>
      <c r="R77" s="2860"/>
      <c r="S77" s="2861"/>
      <c r="T77" s="2860"/>
      <c r="U77" s="2861"/>
      <c r="V77" s="2860"/>
      <c r="W77" s="2861"/>
      <c r="X77" s="2860"/>
      <c r="Y77" s="2861"/>
      <c r="Z77" s="2909"/>
    </row>
    <row r="78" spans="1:26">
      <c r="A78" s="2873"/>
      <c r="B78" s="836"/>
      <c r="C78" s="836"/>
      <c r="D78" s="836"/>
      <c r="E78" s="837"/>
      <c r="F78" s="836"/>
      <c r="G78" s="837"/>
      <c r="H78" s="836"/>
      <c r="I78" s="2861"/>
      <c r="J78" s="2860"/>
      <c r="K78" s="2860"/>
      <c r="L78" s="2860"/>
      <c r="M78" s="2861"/>
      <c r="N78" s="2860"/>
      <c r="O78" s="2861"/>
      <c r="P78" s="2860"/>
      <c r="Q78" s="2861"/>
      <c r="R78" s="2860"/>
      <c r="S78" s="2861"/>
      <c r="T78" s="2860"/>
      <c r="U78" s="2861"/>
      <c r="V78" s="2860"/>
      <c r="W78" s="2861"/>
      <c r="X78" s="2860"/>
      <c r="Y78" s="2861"/>
      <c r="Z78" s="2909"/>
    </row>
    <row r="79" spans="1:26">
      <c r="A79" s="2873"/>
      <c r="B79" s="836"/>
      <c r="C79" s="836"/>
      <c r="D79" s="836"/>
      <c r="E79" s="837"/>
      <c r="F79" s="836"/>
      <c r="G79" s="837"/>
      <c r="H79" s="836"/>
      <c r="I79" s="2861"/>
      <c r="J79" s="2860"/>
      <c r="K79" s="2860"/>
      <c r="L79" s="2860"/>
      <c r="M79" s="2861"/>
      <c r="N79" s="2860"/>
      <c r="O79" s="2861"/>
      <c r="P79" s="2860"/>
      <c r="Q79" s="2861"/>
      <c r="R79" s="2860"/>
      <c r="S79" s="2861"/>
      <c r="T79" s="2860"/>
      <c r="U79" s="2861"/>
      <c r="V79" s="2860"/>
      <c r="W79" s="2861"/>
      <c r="X79" s="2860"/>
      <c r="Y79" s="2861"/>
      <c r="Z79" s="2909"/>
    </row>
    <row r="80" spans="1:26">
      <c r="A80" s="2873"/>
      <c r="B80" s="836"/>
      <c r="C80" s="836"/>
      <c r="D80" s="836"/>
      <c r="E80" s="837"/>
      <c r="F80" s="836"/>
      <c r="G80" s="837"/>
      <c r="H80" s="836"/>
      <c r="I80" s="2861"/>
      <c r="J80" s="2860"/>
      <c r="K80" s="2860"/>
      <c r="L80" s="2860"/>
      <c r="M80" s="2861"/>
      <c r="N80" s="2860"/>
      <c r="O80" s="2861"/>
      <c r="P80" s="2860"/>
      <c r="Q80" s="2861"/>
      <c r="R80" s="2860"/>
      <c r="S80" s="2861"/>
      <c r="T80" s="2860"/>
      <c r="U80" s="2861"/>
      <c r="V80" s="2860"/>
      <c r="W80" s="2861"/>
      <c r="X80" s="2860"/>
      <c r="Y80" s="2861"/>
      <c r="Z80" s="2909"/>
    </row>
    <row r="81" spans="1:26">
      <c r="A81" s="2873"/>
      <c r="B81" s="836"/>
      <c r="C81" s="836"/>
      <c r="D81" s="836"/>
      <c r="E81" s="837"/>
      <c r="F81" s="836"/>
      <c r="G81" s="837"/>
      <c r="H81" s="836"/>
      <c r="I81" s="2861"/>
      <c r="J81" s="2860"/>
      <c r="K81" s="2860"/>
      <c r="L81" s="2860"/>
      <c r="M81" s="2861"/>
      <c r="N81" s="2860"/>
      <c r="O81" s="2861"/>
      <c r="P81" s="2860"/>
      <c r="Q81" s="2861"/>
      <c r="R81" s="2860"/>
      <c r="S81" s="2861"/>
      <c r="T81" s="2860"/>
      <c r="U81" s="2861"/>
      <c r="V81" s="2860"/>
      <c r="W81" s="2861"/>
      <c r="X81" s="2860"/>
      <c r="Y81" s="2861"/>
      <c r="Z81" s="2909"/>
    </row>
    <row r="82" spans="1:26">
      <c r="A82" s="2873"/>
      <c r="B82" s="836"/>
      <c r="C82" s="836"/>
      <c r="D82" s="836"/>
      <c r="E82" s="837"/>
      <c r="F82" s="836"/>
      <c r="G82" s="837"/>
      <c r="H82" s="836"/>
      <c r="I82" s="2861"/>
      <c r="J82" s="2860"/>
      <c r="K82" s="2860"/>
      <c r="L82" s="2860"/>
      <c r="M82" s="2861"/>
      <c r="N82" s="2860"/>
      <c r="O82" s="2861"/>
      <c r="P82" s="2860"/>
      <c r="Q82" s="2861"/>
      <c r="R82" s="2860"/>
      <c r="S82" s="2861"/>
      <c r="T82" s="2860"/>
      <c r="U82" s="2861"/>
      <c r="V82" s="2860"/>
      <c r="W82" s="2861"/>
      <c r="X82" s="2860"/>
      <c r="Y82" s="2861"/>
      <c r="Z82" s="2909"/>
    </row>
    <row r="83" spans="1:26">
      <c r="A83" s="2873"/>
      <c r="B83" s="836"/>
      <c r="C83" s="836"/>
      <c r="D83" s="836"/>
      <c r="E83" s="837"/>
      <c r="F83" s="836"/>
      <c r="G83" s="837"/>
      <c r="H83" s="836"/>
      <c r="I83" s="2861"/>
      <c r="J83" s="2860"/>
      <c r="K83" s="2860"/>
      <c r="L83" s="2860"/>
      <c r="M83" s="2861"/>
      <c r="N83" s="2860"/>
      <c r="O83" s="2861"/>
      <c r="P83" s="2860"/>
      <c r="Q83" s="2861"/>
      <c r="R83" s="2860"/>
      <c r="S83" s="2861"/>
      <c r="T83" s="2860"/>
      <c r="U83" s="2861"/>
      <c r="V83" s="2860"/>
      <c r="W83" s="2861"/>
      <c r="X83" s="2860"/>
      <c r="Y83" s="2861"/>
      <c r="Z83" s="2909"/>
    </row>
    <row r="84" spans="1:26">
      <c r="A84" s="2873"/>
      <c r="B84" s="836"/>
      <c r="C84" s="836"/>
      <c r="D84" s="836"/>
      <c r="E84" s="837"/>
      <c r="F84" s="836"/>
      <c r="G84" s="837"/>
      <c r="H84" s="836"/>
      <c r="I84" s="2861"/>
      <c r="J84" s="2860"/>
      <c r="K84" s="2860"/>
      <c r="L84" s="2860"/>
      <c r="M84" s="2861"/>
      <c r="N84" s="2860"/>
      <c r="O84" s="2861"/>
      <c r="P84" s="2860"/>
      <c r="Q84" s="2861"/>
      <c r="R84" s="2860"/>
      <c r="S84" s="2861"/>
      <c r="T84" s="2860"/>
      <c r="U84" s="2861"/>
      <c r="V84" s="2860"/>
      <c r="W84" s="2861"/>
      <c r="X84" s="2860"/>
      <c r="Y84" s="2861"/>
      <c r="Z84" s="2909"/>
    </row>
    <row r="85" spans="1:26">
      <c r="A85" s="2873"/>
      <c r="B85" s="836"/>
      <c r="C85" s="836"/>
      <c r="D85" s="836"/>
      <c r="E85" s="837"/>
      <c r="F85" s="836"/>
      <c r="G85" s="837"/>
      <c r="H85" s="836"/>
      <c r="I85" s="2861"/>
      <c r="J85" s="2860"/>
      <c r="K85" s="2860"/>
      <c r="L85" s="2860"/>
      <c r="M85" s="2861"/>
      <c r="N85" s="2860"/>
      <c r="O85" s="2861"/>
      <c r="P85" s="2860"/>
      <c r="Q85" s="2861"/>
      <c r="R85" s="2860"/>
      <c r="S85" s="2861"/>
      <c r="T85" s="2860"/>
      <c r="U85" s="2861"/>
      <c r="V85" s="2860"/>
      <c r="W85" s="2861"/>
      <c r="X85" s="2860"/>
      <c r="Y85" s="2861"/>
      <c r="Z85" s="2909"/>
    </row>
    <row r="86" spans="1:26">
      <c r="A86" s="2873"/>
      <c r="B86" s="836"/>
      <c r="C86" s="836"/>
      <c r="D86" s="836"/>
      <c r="E86" s="837"/>
      <c r="F86" s="836"/>
      <c r="G86" s="837"/>
      <c r="H86" s="836"/>
      <c r="I86" s="2861"/>
      <c r="J86" s="2860"/>
      <c r="K86" s="2860"/>
      <c r="L86" s="2860"/>
      <c r="M86" s="2861"/>
      <c r="N86" s="2860"/>
      <c r="O86" s="2861"/>
      <c r="P86" s="2860"/>
      <c r="Q86" s="2861"/>
      <c r="R86" s="2860"/>
      <c r="S86" s="2861"/>
      <c r="T86" s="2860"/>
      <c r="U86" s="2861"/>
      <c r="V86" s="2860"/>
      <c r="W86" s="2861"/>
      <c r="X86" s="2860"/>
      <c r="Y86" s="2861"/>
      <c r="Z86" s="2909"/>
    </row>
    <row r="87" spans="1:26">
      <c r="A87" s="2873"/>
      <c r="B87" s="836"/>
      <c r="C87" s="836"/>
      <c r="D87" s="836"/>
      <c r="E87" s="837"/>
      <c r="F87" s="836"/>
      <c r="G87" s="837"/>
      <c r="H87" s="836"/>
      <c r="I87" s="2861"/>
      <c r="J87" s="2860"/>
      <c r="K87" s="2860"/>
      <c r="L87" s="2860"/>
      <c r="M87" s="2861"/>
      <c r="N87" s="2860"/>
      <c r="O87" s="2861"/>
      <c r="P87" s="2860"/>
      <c r="Q87" s="2861"/>
      <c r="R87" s="2860"/>
      <c r="S87" s="2861"/>
      <c r="T87" s="2860"/>
      <c r="U87" s="2861"/>
      <c r="V87" s="2860"/>
      <c r="W87" s="2861"/>
      <c r="X87" s="2860"/>
      <c r="Y87" s="2861"/>
      <c r="Z87" s="2909"/>
    </row>
    <row r="88" spans="1:26">
      <c r="A88" s="2873"/>
      <c r="B88" s="836"/>
      <c r="C88" s="836"/>
      <c r="D88" s="836"/>
      <c r="E88" s="837"/>
      <c r="F88" s="836"/>
      <c r="G88" s="837"/>
      <c r="H88" s="836"/>
      <c r="I88" s="2861"/>
      <c r="J88" s="2860"/>
      <c r="K88" s="2860"/>
      <c r="L88" s="2860"/>
      <c r="M88" s="2861"/>
      <c r="N88" s="2860"/>
      <c r="O88" s="2861"/>
      <c r="P88" s="2860"/>
      <c r="Q88" s="2861"/>
      <c r="R88" s="2860"/>
      <c r="S88" s="2861"/>
      <c r="T88" s="2860"/>
      <c r="U88" s="2861"/>
      <c r="V88" s="2860"/>
      <c r="W88" s="2861"/>
      <c r="X88" s="2860"/>
      <c r="Y88" s="2861"/>
      <c r="Z88" s="2909"/>
    </row>
    <row r="89" spans="1:26">
      <c r="A89" s="2873"/>
      <c r="B89" s="836"/>
      <c r="C89" s="836"/>
      <c r="D89" s="836"/>
      <c r="E89" s="837"/>
      <c r="F89" s="836"/>
      <c r="G89" s="837"/>
      <c r="H89" s="836"/>
      <c r="I89" s="2861"/>
      <c r="J89" s="2860"/>
      <c r="K89" s="2860"/>
      <c r="L89" s="2860"/>
      <c r="M89" s="2861"/>
      <c r="N89" s="2860"/>
      <c r="O89" s="2861"/>
      <c r="P89" s="2860"/>
      <c r="Q89" s="2861"/>
      <c r="R89" s="2860"/>
      <c r="S89" s="2861"/>
      <c r="T89" s="2860"/>
      <c r="U89" s="2861"/>
      <c r="V89" s="2860"/>
      <c r="W89" s="2861"/>
      <c r="X89" s="2860"/>
      <c r="Y89" s="2861"/>
      <c r="Z89" s="2909"/>
    </row>
    <row r="90" spans="1:26">
      <c r="A90" s="2873"/>
      <c r="B90" s="836"/>
      <c r="C90" s="836"/>
      <c r="D90" s="836"/>
      <c r="E90" s="837"/>
      <c r="F90" s="836"/>
      <c r="G90" s="837"/>
      <c r="H90" s="836"/>
      <c r="I90" s="2861"/>
      <c r="J90" s="2860"/>
      <c r="K90" s="2860"/>
      <c r="L90" s="2860"/>
      <c r="M90" s="2861"/>
      <c r="N90" s="2860"/>
      <c r="O90" s="2861"/>
      <c r="P90" s="2860"/>
      <c r="Q90" s="2861"/>
      <c r="R90" s="2860"/>
      <c r="S90" s="2861"/>
      <c r="T90" s="2860"/>
      <c r="U90" s="2861"/>
      <c r="V90" s="2860"/>
      <c r="W90" s="2861"/>
      <c r="X90" s="2860"/>
      <c r="Y90" s="2861"/>
      <c r="Z90" s="2909"/>
    </row>
    <row r="91" spans="1:26">
      <c r="A91" s="2873"/>
      <c r="B91" s="836"/>
      <c r="C91" s="836"/>
      <c r="D91" s="836"/>
      <c r="E91" s="837"/>
      <c r="F91" s="836"/>
      <c r="G91" s="837"/>
      <c r="H91" s="836"/>
      <c r="I91" s="2861"/>
      <c r="J91" s="2860"/>
      <c r="K91" s="2860"/>
      <c r="L91" s="2860"/>
      <c r="M91" s="2861"/>
      <c r="N91" s="2860"/>
      <c r="O91" s="2861"/>
      <c r="P91" s="2860"/>
      <c r="Q91" s="2861"/>
      <c r="R91" s="2860"/>
      <c r="S91" s="2861"/>
      <c r="T91" s="2860"/>
      <c r="U91" s="2861"/>
      <c r="V91" s="2860"/>
      <c r="W91" s="2861"/>
      <c r="X91" s="2860"/>
      <c r="Y91" s="2861"/>
      <c r="Z91" s="2909"/>
    </row>
    <row r="92" spans="1:26">
      <c r="A92" s="2873"/>
      <c r="B92" s="836"/>
      <c r="C92" s="836"/>
      <c r="D92" s="836"/>
      <c r="E92" s="837"/>
      <c r="F92" s="836"/>
      <c r="G92" s="837"/>
      <c r="H92" s="836"/>
      <c r="I92" s="2861"/>
      <c r="J92" s="2860"/>
      <c r="K92" s="2860"/>
      <c r="L92" s="2860"/>
      <c r="M92" s="2861"/>
      <c r="N92" s="2860"/>
      <c r="O92" s="2861"/>
      <c r="P92" s="2860"/>
      <c r="Q92" s="2861"/>
      <c r="R92" s="2860"/>
      <c r="S92" s="2861"/>
      <c r="T92" s="2860"/>
      <c r="U92" s="2861"/>
      <c r="V92" s="2860"/>
      <c r="W92" s="2861"/>
      <c r="X92" s="2860"/>
      <c r="Y92" s="2861"/>
      <c r="Z92" s="2909"/>
    </row>
    <row r="93" spans="1:26">
      <c r="A93" s="2873"/>
      <c r="B93" s="836"/>
      <c r="C93" s="836"/>
      <c r="D93" s="836"/>
      <c r="E93" s="837"/>
      <c r="F93" s="836"/>
      <c r="G93" s="837"/>
      <c r="H93" s="836"/>
      <c r="I93" s="2861"/>
      <c r="J93" s="2860"/>
      <c r="K93" s="2860"/>
      <c r="L93" s="2860"/>
      <c r="M93" s="2861"/>
      <c r="N93" s="2860"/>
      <c r="O93" s="2861"/>
      <c r="P93" s="2860"/>
      <c r="Q93" s="2861"/>
      <c r="R93" s="2860"/>
      <c r="S93" s="2861"/>
      <c r="T93" s="2860"/>
      <c r="U93" s="2861"/>
      <c r="V93" s="2860"/>
      <c r="W93" s="2861"/>
      <c r="X93" s="2860"/>
      <c r="Y93" s="2861"/>
      <c r="Z93" s="2909"/>
    </row>
    <row r="94" spans="1:26">
      <c r="A94" s="2873"/>
      <c r="B94" s="836"/>
      <c r="C94" s="836"/>
      <c r="D94" s="836"/>
      <c r="E94" s="837"/>
      <c r="F94" s="836"/>
      <c r="G94" s="837"/>
      <c r="H94" s="836"/>
      <c r="I94" s="2861"/>
      <c r="J94" s="2860"/>
      <c r="K94" s="2860"/>
      <c r="L94" s="2860"/>
      <c r="M94" s="2861"/>
      <c r="N94" s="2860"/>
      <c r="O94" s="2861"/>
      <c r="P94" s="2860"/>
      <c r="Q94" s="2861"/>
      <c r="R94" s="2860"/>
      <c r="S94" s="2861"/>
      <c r="T94" s="2860"/>
      <c r="U94" s="2861"/>
      <c r="V94" s="2860"/>
      <c r="W94" s="2861"/>
      <c r="X94" s="2860"/>
      <c r="Y94" s="2861"/>
      <c r="Z94" s="2909"/>
    </row>
    <row r="95" spans="1:26">
      <c r="A95" s="2873"/>
      <c r="B95" s="836"/>
      <c r="C95" s="836"/>
      <c r="D95" s="836"/>
      <c r="E95" s="837"/>
      <c r="F95" s="836"/>
      <c r="G95" s="837"/>
      <c r="H95" s="836"/>
      <c r="I95" s="2861"/>
      <c r="J95" s="2860"/>
      <c r="K95" s="2860"/>
      <c r="L95" s="2860"/>
      <c r="M95" s="2861"/>
      <c r="N95" s="2860"/>
      <c r="O95" s="2861"/>
      <c r="P95" s="2860"/>
      <c r="Q95" s="2861"/>
      <c r="R95" s="2860"/>
      <c r="S95" s="2861"/>
      <c r="T95" s="2860"/>
      <c r="U95" s="2861"/>
      <c r="V95" s="2860"/>
      <c r="W95" s="2861"/>
      <c r="X95" s="2860"/>
      <c r="Y95" s="2861"/>
      <c r="Z95" s="2909"/>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0" firstPageNumber="47" orientation="landscape" useFirstPageNumber="1" r:id="rId2"/>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O113"/>
  <sheetViews>
    <sheetView showGridLines="0" zoomScale="90" zoomScaleNormal="80" workbookViewId="0"/>
  </sheetViews>
  <sheetFormatPr defaultColWidth="8.88671875" defaultRowHeight="12.75"/>
  <cols>
    <col min="1" max="1" width="45.109375" style="1566" customWidth="1"/>
    <col min="2" max="2" width="1.6640625" style="1566" customWidth="1"/>
    <col min="3" max="3" width="18.6640625" style="1566" customWidth="1"/>
    <col min="4" max="4" width="1.6640625" style="1566" customWidth="1"/>
    <col min="5" max="5" width="18.6640625" style="1567" customWidth="1"/>
    <col min="6" max="6" width="1.44140625" style="1567" customWidth="1"/>
    <col min="7" max="7" width="18.6640625" style="1567" customWidth="1"/>
    <col min="8" max="8" width="1.44140625" style="1567" customWidth="1"/>
    <col min="9" max="9" width="15.21875" style="1566" customWidth="1"/>
    <col min="10" max="10" width="7.109375" style="1566" customWidth="1"/>
    <col min="11" max="12" width="8.88671875" style="1569"/>
    <col min="13" max="14" width="13" style="3230" bestFit="1" customWidth="1"/>
    <col min="15" max="15" width="8.88671875" style="1569"/>
    <col min="16" max="16384" width="8.88671875" style="1566"/>
  </cols>
  <sheetData>
    <row r="1" spans="1:15" ht="15">
      <c r="A1" s="1052" t="s">
        <v>1064</v>
      </c>
    </row>
    <row r="2" spans="1:15" ht="15">
      <c r="A2" s="2534"/>
    </row>
    <row r="3" spans="1:15" s="1581" customFormat="1">
      <c r="A3" s="2535" t="s">
        <v>504</v>
      </c>
      <c r="B3" s="2535"/>
      <c r="C3" s="2717"/>
      <c r="D3" s="2536"/>
      <c r="E3" s="2400"/>
      <c r="F3" s="2400"/>
      <c r="G3" s="2400" t="s">
        <v>505</v>
      </c>
      <c r="H3" s="2400"/>
      <c r="K3" s="1024"/>
      <c r="L3" s="1024"/>
      <c r="M3" s="3231"/>
      <c r="N3" s="3231"/>
      <c r="O3" s="1024"/>
    </row>
    <row r="4" spans="1:15" s="1581" customFormat="1">
      <c r="A4" s="2535" t="s">
        <v>506</v>
      </c>
      <c r="B4" s="2535"/>
      <c r="C4" s="2717"/>
      <c r="D4" s="2536"/>
      <c r="E4" s="2400"/>
      <c r="F4" s="2400"/>
      <c r="G4" s="2400"/>
      <c r="H4" s="2400"/>
      <c r="K4" s="1024"/>
      <c r="L4" s="1024"/>
      <c r="M4" s="3231"/>
      <c r="N4" s="3231"/>
      <c r="O4" s="1024"/>
    </row>
    <row r="5" spans="1:15" s="1581" customFormat="1">
      <c r="A5" s="2535" t="s">
        <v>507</v>
      </c>
      <c r="B5" s="2535"/>
      <c r="C5" s="2717"/>
      <c r="D5" s="2536"/>
      <c r="E5" s="2400"/>
      <c r="F5" s="2400"/>
      <c r="G5" s="2400"/>
      <c r="H5" s="2400"/>
      <c r="K5" s="1024"/>
      <c r="L5" s="1024"/>
      <c r="M5" s="3231"/>
      <c r="N5" s="3231"/>
      <c r="O5" s="1024"/>
    </row>
    <row r="6" spans="1:15" s="1581" customFormat="1">
      <c r="A6" s="2537" t="s">
        <v>1473</v>
      </c>
      <c r="B6" s="2537"/>
      <c r="C6" s="2718"/>
      <c r="D6" s="2538"/>
      <c r="E6" s="2400"/>
      <c r="F6" s="2400"/>
      <c r="G6" s="2400"/>
      <c r="H6" s="2400"/>
      <c r="K6" s="1024"/>
      <c r="L6" s="1024"/>
      <c r="M6" s="3231"/>
      <c r="N6" s="3231"/>
      <c r="O6" s="1024"/>
    </row>
    <row r="7" spans="1:15">
      <c r="C7" s="1569"/>
    </row>
    <row r="8" spans="1:15" ht="27" customHeight="1">
      <c r="A8" s="3232" t="s">
        <v>508</v>
      </c>
      <c r="B8" s="2539"/>
      <c r="C8" s="3233" t="s">
        <v>984</v>
      </c>
      <c r="D8" s="2402"/>
      <c r="E8" s="3233" t="s">
        <v>1499</v>
      </c>
      <c r="F8" s="2401"/>
      <c r="G8" s="3234" t="s">
        <v>1500</v>
      </c>
      <c r="H8" s="2401"/>
    </row>
    <row r="9" spans="1:15" s="1581" customFormat="1" ht="15">
      <c r="A9" s="2540" t="s">
        <v>509</v>
      </c>
      <c r="B9" s="2539"/>
      <c r="C9" s="3560">
        <v>44209747</v>
      </c>
      <c r="D9" s="2403"/>
      <c r="E9" s="3561"/>
      <c r="F9" s="2719"/>
      <c r="G9" s="2719"/>
      <c r="H9" s="2719"/>
      <c r="I9" s="3235"/>
      <c r="J9" s="3236"/>
      <c r="K9" s="1024"/>
      <c r="L9" s="1024"/>
      <c r="M9" s="3231"/>
      <c r="N9" s="3231"/>
      <c r="O9" s="1024"/>
    </row>
    <row r="10" spans="1:15" s="1581" customFormat="1">
      <c r="A10" s="1566" t="s">
        <v>510</v>
      </c>
      <c r="B10" s="2544"/>
      <c r="C10" s="3562"/>
      <c r="D10" s="2404"/>
      <c r="E10" s="3563">
        <v>0</v>
      </c>
      <c r="F10" s="3564"/>
      <c r="G10" s="3563">
        <f>ROUND(SUM(E10),0)</f>
        <v>0</v>
      </c>
      <c r="H10" s="3547"/>
      <c r="I10" s="3237"/>
      <c r="J10" s="3236"/>
      <c r="K10" s="1024"/>
      <c r="L10" s="1024"/>
      <c r="M10" s="3231"/>
      <c r="N10" s="3231"/>
      <c r="O10" s="1024"/>
    </row>
    <row r="11" spans="1:15" s="1581" customFormat="1">
      <c r="A11" s="1566" t="s">
        <v>511</v>
      </c>
      <c r="B11" s="2544"/>
      <c r="C11" s="3562"/>
      <c r="D11" s="2404"/>
      <c r="E11" s="2719">
        <v>0</v>
      </c>
      <c r="F11" s="2719"/>
      <c r="G11" s="2543">
        <f>ROUND(SUM(E11),0)</f>
        <v>0</v>
      </c>
      <c r="H11" s="2719"/>
      <c r="I11" s="3238"/>
      <c r="J11" s="3236"/>
      <c r="K11" s="1024"/>
      <c r="L11" s="1024"/>
      <c r="M11" s="3231"/>
      <c r="N11" s="3231"/>
      <c r="O11" s="1024"/>
    </row>
    <row r="12" spans="1:15" s="1581" customFormat="1">
      <c r="A12" s="1566" t="s">
        <v>512</v>
      </c>
      <c r="B12" s="2544"/>
      <c r="C12" s="3562"/>
      <c r="D12" s="2404"/>
      <c r="E12" s="2719">
        <v>149963</v>
      </c>
      <c r="F12" s="2719"/>
      <c r="G12" s="2543">
        <f t="shared" ref="G12:G26" si="0">ROUND(SUM(E12),0)</f>
        <v>149963</v>
      </c>
      <c r="H12" s="2719"/>
      <c r="I12" s="3238"/>
      <c r="J12" s="3236"/>
      <c r="K12" s="1024"/>
      <c r="L12" s="1024"/>
      <c r="M12" s="3231"/>
      <c r="N12" s="3231"/>
      <c r="O12" s="1024"/>
    </row>
    <row r="13" spans="1:15" s="1581" customFormat="1">
      <c r="A13" s="1566" t="s">
        <v>513</v>
      </c>
      <c r="B13" s="2544"/>
      <c r="C13" s="3562"/>
      <c r="D13" s="2404"/>
      <c r="E13" s="2719">
        <v>0</v>
      </c>
      <c r="F13" s="2719"/>
      <c r="G13" s="2543">
        <f t="shared" si="0"/>
        <v>0</v>
      </c>
      <c r="H13" s="2719"/>
      <c r="I13" s="3238"/>
      <c r="J13" s="3236"/>
      <c r="K13" s="1024"/>
      <c r="L13" s="1024"/>
      <c r="M13" s="3231"/>
      <c r="N13" s="3231"/>
      <c r="O13" s="1024"/>
    </row>
    <row r="14" spans="1:15" s="1581" customFormat="1">
      <c r="A14" s="1566" t="s">
        <v>514</v>
      </c>
      <c r="B14" s="2544"/>
      <c r="C14" s="3562"/>
      <c r="D14" s="2404"/>
      <c r="E14" s="2719">
        <v>0</v>
      </c>
      <c r="F14" s="2719"/>
      <c r="G14" s="2543">
        <f t="shared" si="0"/>
        <v>0</v>
      </c>
      <c r="H14" s="2719"/>
      <c r="I14" s="3238"/>
      <c r="J14" s="3236"/>
      <c r="K14" s="1024"/>
      <c r="L14" s="1024"/>
      <c r="M14" s="3231"/>
      <c r="N14" s="3231"/>
      <c r="O14" s="1024"/>
    </row>
    <row r="15" spans="1:15" s="1581" customFormat="1">
      <c r="A15" s="1566" t="s">
        <v>515</v>
      </c>
      <c r="B15" s="2544"/>
      <c r="C15" s="3562"/>
      <c r="D15" s="2404"/>
      <c r="E15" s="2719">
        <v>0</v>
      </c>
      <c r="F15" s="2719"/>
      <c r="G15" s="2543">
        <f t="shared" si="0"/>
        <v>0</v>
      </c>
      <c r="H15" s="2719"/>
      <c r="I15" s="3238"/>
      <c r="J15" s="3236"/>
      <c r="K15" s="1024"/>
      <c r="L15" s="1024"/>
      <c r="M15" s="3231"/>
      <c r="N15" s="3231"/>
      <c r="O15" s="1024"/>
    </row>
    <row r="16" spans="1:15" s="1581" customFormat="1">
      <c r="A16" s="1566" t="s">
        <v>516</v>
      </c>
      <c r="B16" s="2544"/>
      <c r="C16" s="3562"/>
      <c r="D16" s="2404"/>
      <c r="E16" s="2719">
        <v>0</v>
      </c>
      <c r="F16" s="2719"/>
      <c r="G16" s="2543">
        <f t="shared" si="0"/>
        <v>0</v>
      </c>
      <c r="H16" s="2719"/>
      <c r="I16" s="3238"/>
      <c r="J16" s="3236"/>
      <c r="K16" s="1024"/>
      <c r="L16" s="1024"/>
      <c r="M16" s="3231"/>
      <c r="N16" s="3231"/>
      <c r="O16" s="1024"/>
    </row>
    <row r="17" spans="1:15" s="1581" customFormat="1">
      <c r="A17" s="1566" t="s">
        <v>517</v>
      </c>
      <c r="B17" s="2544"/>
      <c r="C17" s="3562"/>
      <c r="D17" s="2404"/>
      <c r="E17" s="2719">
        <v>0</v>
      </c>
      <c r="F17" s="2719"/>
      <c r="G17" s="2543">
        <f t="shared" si="0"/>
        <v>0</v>
      </c>
      <c r="H17" s="2719"/>
      <c r="I17" s="3238"/>
      <c r="J17" s="3236"/>
      <c r="K17" s="1024"/>
      <c r="L17" s="1024"/>
      <c r="M17" s="3231"/>
      <c r="N17" s="3231"/>
      <c r="O17" s="1024"/>
    </row>
    <row r="18" spans="1:15" s="1581" customFormat="1">
      <c r="A18" s="1566" t="s">
        <v>1070</v>
      </c>
      <c r="B18" s="2544"/>
      <c r="C18" s="3562"/>
      <c r="D18" s="2404"/>
      <c r="E18" s="2719">
        <v>0</v>
      </c>
      <c r="F18" s="2719"/>
      <c r="G18" s="2543">
        <f t="shared" si="0"/>
        <v>0</v>
      </c>
      <c r="H18" s="2719"/>
      <c r="I18" s="3238"/>
      <c r="J18" s="3236"/>
      <c r="K18" s="1024"/>
      <c r="L18" s="1024"/>
      <c r="M18" s="3231"/>
      <c r="N18" s="3231"/>
      <c r="O18" s="1024"/>
    </row>
    <row r="19" spans="1:15" s="1581" customFormat="1">
      <c r="A19" s="1566" t="s">
        <v>518</v>
      </c>
      <c r="B19" s="2544"/>
      <c r="C19" s="3562"/>
      <c r="D19" s="2404"/>
      <c r="E19" s="2719">
        <v>0</v>
      </c>
      <c r="F19" s="2719"/>
      <c r="G19" s="2543">
        <f t="shared" si="0"/>
        <v>0</v>
      </c>
      <c r="H19" s="2719"/>
      <c r="I19" s="3238"/>
      <c r="J19" s="3236"/>
      <c r="K19" s="1024"/>
      <c r="L19" s="1024"/>
      <c r="M19" s="3231"/>
      <c r="N19" s="3231"/>
      <c r="O19" s="1024"/>
    </row>
    <row r="20" spans="1:15" s="1581" customFormat="1">
      <c r="A20" s="1566" t="s">
        <v>519</v>
      </c>
      <c r="B20" s="2544"/>
      <c r="C20" s="3562"/>
      <c r="D20" s="2404"/>
      <c r="E20" s="2719">
        <v>0</v>
      </c>
      <c r="F20" s="2719"/>
      <c r="G20" s="2543">
        <f t="shared" si="0"/>
        <v>0</v>
      </c>
      <c r="H20" s="2719"/>
      <c r="I20" s="3238"/>
      <c r="J20" s="3236"/>
      <c r="K20" s="1024"/>
      <c r="L20" s="1024"/>
      <c r="M20" s="3231"/>
      <c r="N20" s="3231"/>
      <c r="O20" s="1024"/>
    </row>
    <row r="21" spans="1:15" s="1581" customFormat="1">
      <c r="A21" s="1566" t="s">
        <v>520</v>
      </c>
      <c r="B21" s="2544"/>
      <c r="C21" s="3562"/>
      <c r="D21" s="2404"/>
      <c r="E21" s="2719">
        <v>0</v>
      </c>
      <c r="F21" s="2719"/>
      <c r="G21" s="2543">
        <f t="shared" si="0"/>
        <v>0</v>
      </c>
      <c r="H21" s="2719"/>
      <c r="I21" s="3238"/>
      <c r="J21" s="3236"/>
      <c r="K21" s="1024"/>
      <c r="L21" s="1024"/>
      <c r="M21" s="3231"/>
      <c r="N21" s="3231"/>
      <c r="O21" s="1024"/>
    </row>
    <row r="22" spans="1:15" s="1581" customFormat="1">
      <c r="A22" s="1566" t="s">
        <v>521</v>
      </c>
      <c r="B22" s="2544"/>
      <c r="C22" s="3562"/>
      <c r="D22" s="2404"/>
      <c r="E22" s="2719">
        <v>0</v>
      </c>
      <c r="F22" s="2719"/>
      <c r="G22" s="2543">
        <f t="shared" si="0"/>
        <v>0</v>
      </c>
      <c r="H22" s="2719"/>
      <c r="I22" s="3238"/>
      <c r="J22" s="3236"/>
      <c r="K22" s="1024"/>
      <c r="L22" s="1024"/>
      <c r="M22" s="3231"/>
      <c r="N22" s="3231"/>
      <c r="O22" s="1024"/>
    </row>
    <row r="23" spans="1:15" s="1581" customFormat="1">
      <c r="A23" s="1566" t="s">
        <v>522</v>
      </c>
      <c r="B23" s="2544"/>
      <c r="C23" s="3562"/>
      <c r="D23" s="2404"/>
      <c r="E23" s="2719">
        <v>0</v>
      </c>
      <c r="F23" s="2719"/>
      <c r="G23" s="2543">
        <f t="shared" si="0"/>
        <v>0</v>
      </c>
      <c r="H23" s="2719"/>
      <c r="I23" s="3238"/>
      <c r="J23" s="3236"/>
      <c r="K23" s="1024"/>
      <c r="L23" s="1024"/>
      <c r="M23" s="3231"/>
      <c r="N23" s="3231"/>
      <c r="O23" s="1024"/>
    </row>
    <row r="24" spans="1:15" s="1581" customFormat="1">
      <c r="A24" s="1566" t="s">
        <v>523</v>
      </c>
      <c r="B24" s="2544"/>
      <c r="C24" s="3562"/>
      <c r="D24" s="2404"/>
      <c r="E24" s="2719">
        <v>0</v>
      </c>
      <c r="F24" s="2719"/>
      <c r="G24" s="2543">
        <f t="shared" si="0"/>
        <v>0</v>
      </c>
      <c r="H24" s="2719"/>
      <c r="I24" s="3238"/>
      <c r="J24" s="3236"/>
      <c r="K24" s="1024"/>
      <c r="L24" s="1024"/>
      <c r="M24" s="3231"/>
      <c r="N24" s="3231"/>
      <c r="O24" s="1024"/>
    </row>
    <row r="25" spans="1:15" s="1581" customFormat="1">
      <c r="A25" s="1566" t="s">
        <v>524</v>
      </c>
      <c r="B25" s="2544"/>
      <c r="C25" s="3562"/>
      <c r="D25" s="2404"/>
      <c r="E25" s="2719">
        <v>0</v>
      </c>
      <c r="F25" s="2719"/>
      <c r="G25" s="2543">
        <f t="shared" si="0"/>
        <v>0</v>
      </c>
      <c r="H25" s="2719"/>
      <c r="I25" s="3238"/>
      <c r="J25" s="3236"/>
      <c r="K25" s="1024"/>
      <c r="L25" s="1024"/>
      <c r="M25" s="3231"/>
      <c r="N25" s="3231"/>
      <c r="O25" s="1024"/>
    </row>
    <row r="26" spans="1:15" s="1581" customFormat="1">
      <c r="A26" s="1566" t="s">
        <v>525</v>
      </c>
      <c r="B26" s="2544"/>
      <c r="C26" s="3562"/>
      <c r="D26" s="2404"/>
      <c r="E26" s="2719">
        <v>0</v>
      </c>
      <c r="F26" s="2719"/>
      <c r="G26" s="2543">
        <f t="shared" si="0"/>
        <v>0</v>
      </c>
      <c r="H26" s="2719"/>
      <c r="I26" s="3238"/>
      <c r="J26" s="3236"/>
      <c r="K26" s="1024"/>
      <c r="L26" s="1024"/>
      <c r="M26" s="3231"/>
      <c r="N26" s="3231"/>
      <c r="O26" s="1024"/>
    </row>
    <row r="27" spans="1:15" s="1581" customFormat="1">
      <c r="A27" s="2540" t="s">
        <v>526</v>
      </c>
      <c r="B27" s="2720"/>
      <c r="C27" s="3565">
        <v>977131000</v>
      </c>
      <c r="D27" s="2721"/>
      <c r="E27" s="2545"/>
      <c r="F27" s="2545"/>
      <c r="G27" s="2545"/>
      <c r="H27" s="2545"/>
      <c r="I27" s="3238"/>
      <c r="J27" s="3236"/>
      <c r="K27" s="1024"/>
      <c r="L27" s="1024"/>
      <c r="M27" s="3231"/>
      <c r="N27" s="3231"/>
      <c r="O27" s="1024"/>
    </row>
    <row r="28" spans="1:15" s="1581" customFormat="1">
      <c r="A28" s="1566" t="s">
        <v>527</v>
      </c>
      <c r="B28" s="1566" t="s">
        <v>15</v>
      </c>
      <c r="C28" s="2722"/>
      <c r="D28" s="2546"/>
      <c r="E28" s="2545">
        <v>19660803</v>
      </c>
      <c r="F28" s="2545"/>
      <c r="G28" s="2543">
        <f>ROUND(SUM(E28),0)</f>
        <v>19660803</v>
      </c>
      <c r="H28" s="2545"/>
      <c r="I28" s="3238"/>
      <c r="J28" s="3236"/>
      <c r="K28" s="1024"/>
      <c r="L28" s="1024"/>
      <c r="M28" s="3231"/>
      <c r="N28" s="3231"/>
      <c r="O28" s="1024"/>
    </row>
    <row r="29" spans="1:15" ht="15">
      <c r="A29" s="2540" t="s">
        <v>528</v>
      </c>
      <c r="B29" s="2723"/>
      <c r="C29" s="3565">
        <v>120000</v>
      </c>
      <c r="D29" s="2724"/>
      <c r="E29" s="2545"/>
      <c r="F29" s="2545"/>
      <c r="G29" s="2545"/>
      <c r="H29" s="2545"/>
      <c r="I29" s="3235"/>
      <c r="J29" s="3236"/>
    </row>
    <row r="30" spans="1:15">
      <c r="A30" s="1566" t="s">
        <v>529</v>
      </c>
      <c r="B30" s="1566" t="s">
        <v>15</v>
      </c>
      <c r="C30" s="2722"/>
      <c r="D30" s="2546"/>
      <c r="E30" s="2545">
        <v>0</v>
      </c>
      <c r="F30" s="2545"/>
      <c r="G30" s="2543">
        <f>ROUND(SUM(E30),0)</f>
        <v>0</v>
      </c>
      <c r="H30" s="2545"/>
      <c r="I30" s="3237"/>
      <c r="J30" s="3236"/>
    </row>
    <row r="31" spans="1:15" ht="15">
      <c r="A31" s="2540" t="s">
        <v>1338</v>
      </c>
      <c r="B31" s="2725"/>
      <c r="C31" s="3565">
        <v>278498253</v>
      </c>
      <c r="D31" s="2726"/>
      <c r="E31" s="2545"/>
      <c r="F31" s="2545"/>
      <c r="G31" s="2545"/>
      <c r="H31" s="2545"/>
      <c r="I31" s="3235"/>
      <c r="J31" s="3236"/>
    </row>
    <row r="32" spans="1:15">
      <c r="A32" s="1566" t="s">
        <v>1339</v>
      </c>
      <c r="B32" s="1566" t="s">
        <v>15</v>
      </c>
      <c r="C32" s="2722"/>
      <c r="D32" s="2546"/>
      <c r="E32" s="2545">
        <v>7482245</v>
      </c>
      <c r="F32" s="2545"/>
      <c r="G32" s="2543">
        <f>ROUND(SUM(E32),0)</f>
        <v>7482245</v>
      </c>
      <c r="H32" s="2545"/>
      <c r="I32" s="3237"/>
      <c r="J32" s="3236"/>
    </row>
    <row r="33" spans="1:10" ht="15">
      <c r="A33" s="2540" t="s">
        <v>530</v>
      </c>
      <c r="B33" s="2541"/>
      <c r="C33" s="3565">
        <v>1898978605</v>
      </c>
      <c r="D33" s="2727"/>
      <c r="E33" s="2728"/>
      <c r="F33" s="2728"/>
      <c r="G33" s="2728"/>
      <c r="H33" s="2728"/>
      <c r="I33" s="3235"/>
      <c r="J33" s="3236"/>
    </row>
    <row r="34" spans="1:10">
      <c r="A34" s="1566" t="s">
        <v>531</v>
      </c>
      <c r="C34" s="2722"/>
      <c r="D34" s="2546"/>
      <c r="E34" s="2545">
        <v>0</v>
      </c>
      <c r="F34" s="2545"/>
      <c r="G34" s="2543">
        <f>ROUND(SUM(E34),0)</f>
        <v>0</v>
      </c>
      <c r="H34" s="2545"/>
      <c r="I34" s="3237"/>
      <c r="J34" s="3236"/>
    </row>
    <row r="35" spans="1:10">
      <c r="A35" s="1566" t="s">
        <v>532</v>
      </c>
      <c r="C35" s="2722"/>
      <c r="D35" s="2546"/>
      <c r="E35" s="2545">
        <v>0</v>
      </c>
      <c r="F35" s="2545"/>
      <c r="G35" s="2543">
        <f t="shared" ref="G35:G63" si="1">ROUND(SUM(E35),0)</f>
        <v>0</v>
      </c>
      <c r="H35" s="2545"/>
      <c r="I35" s="1569"/>
      <c r="J35" s="1569"/>
    </row>
    <row r="36" spans="1:10">
      <c r="A36" s="1566" t="s">
        <v>533</v>
      </c>
      <c r="C36" s="2722"/>
      <c r="D36" s="2546"/>
      <c r="E36" s="2545">
        <v>0</v>
      </c>
      <c r="F36" s="2545"/>
      <c r="G36" s="2543">
        <f t="shared" si="1"/>
        <v>0</v>
      </c>
      <c r="H36" s="2545"/>
      <c r="I36" s="3238"/>
      <c r="J36" s="3236"/>
    </row>
    <row r="37" spans="1:10">
      <c r="A37" s="1566" t="s">
        <v>534</v>
      </c>
      <c r="C37" s="2722"/>
      <c r="D37" s="2546"/>
      <c r="E37" s="2545">
        <v>0</v>
      </c>
      <c r="F37" s="2545"/>
      <c r="G37" s="2543">
        <f t="shared" si="1"/>
        <v>0</v>
      </c>
      <c r="H37" s="2545"/>
      <c r="I37" s="3238"/>
      <c r="J37" s="3236"/>
    </row>
    <row r="38" spans="1:10">
      <c r="A38" s="1566" t="s">
        <v>1071</v>
      </c>
      <c r="C38" s="2722"/>
      <c r="D38" s="2546"/>
      <c r="E38" s="2545">
        <v>0</v>
      </c>
      <c r="F38" s="2545"/>
      <c r="G38" s="2543">
        <f t="shared" si="1"/>
        <v>0</v>
      </c>
      <c r="H38" s="2545"/>
      <c r="I38" s="3237"/>
      <c r="J38" s="3236"/>
    </row>
    <row r="39" spans="1:10">
      <c r="A39" s="1566" t="s">
        <v>535</v>
      </c>
      <c r="C39" s="2722"/>
      <c r="D39" s="2546"/>
      <c r="E39" s="2545">
        <v>245830</v>
      </c>
      <c r="F39" s="2545"/>
      <c r="G39" s="2543">
        <f t="shared" si="1"/>
        <v>245830</v>
      </c>
      <c r="H39" s="2545"/>
      <c r="I39" s="3237"/>
      <c r="J39" s="3236"/>
    </row>
    <row r="40" spans="1:10">
      <c r="A40" s="1566" t="s">
        <v>536</v>
      </c>
      <c r="C40" s="2722"/>
      <c r="D40" s="2546"/>
      <c r="E40" s="2545">
        <v>0</v>
      </c>
      <c r="F40" s="2545"/>
      <c r="G40" s="2543">
        <f t="shared" si="1"/>
        <v>0</v>
      </c>
      <c r="H40" s="2545"/>
      <c r="I40" s="3237"/>
      <c r="J40" s="3236"/>
    </row>
    <row r="41" spans="1:10">
      <c r="A41" s="1566" t="s">
        <v>1072</v>
      </c>
      <c r="C41" s="2722"/>
      <c r="D41" s="2546"/>
      <c r="E41" s="2545">
        <v>0</v>
      </c>
      <c r="F41" s="2545"/>
      <c r="G41" s="2543">
        <f t="shared" si="1"/>
        <v>0</v>
      </c>
      <c r="H41" s="2545"/>
      <c r="I41" s="3238"/>
      <c r="J41" s="3236"/>
    </row>
    <row r="42" spans="1:10">
      <c r="A42" s="1566" t="s">
        <v>537</v>
      </c>
      <c r="C42" s="2722"/>
      <c r="D42" s="2546"/>
      <c r="E42" s="2545">
        <v>19600000</v>
      </c>
      <c r="F42" s="2545"/>
      <c r="G42" s="2543">
        <f t="shared" si="1"/>
        <v>19600000</v>
      </c>
      <c r="H42" s="2545"/>
      <c r="I42" s="3238"/>
      <c r="J42" s="3236"/>
    </row>
    <row r="43" spans="1:10">
      <c r="A43" s="1566" t="s">
        <v>538</v>
      </c>
      <c r="C43" s="2722"/>
      <c r="D43" s="2546"/>
      <c r="E43" s="2545">
        <v>90986</v>
      </c>
      <c r="F43" s="2545"/>
      <c r="G43" s="2543">
        <f t="shared" si="1"/>
        <v>90986</v>
      </c>
      <c r="H43" s="2545"/>
      <c r="I43" s="3237"/>
      <c r="J43" s="3236"/>
    </row>
    <row r="44" spans="1:10">
      <c r="A44" s="1566" t="s">
        <v>539</v>
      </c>
      <c r="C44" s="2722"/>
      <c r="D44" s="2546"/>
      <c r="E44" s="2545">
        <v>8607</v>
      </c>
      <c r="F44" s="2545"/>
      <c r="G44" s="2543">
        <f t="shared" si="1"/>
        <v>8607</v>
      </c>
      <c r="H44" s="2545"/>
      <c r="I44" s="3237"/>
      <c r="J44" s="3236"/>
    </row>
    <row r="45" spans="1:10">
      <c r="A45" s="1566" t="s">
        <v>540</v>
      </c>
      <c r="C45" s="2722"/>
      <c r="D45" s="2546"/>
      <c r="E45" s="2545">
        <v>0</v>
      </c>
      <c r="F45" s="2545"/>
      <c r="G45" s="2543">
        <f t="shared" si="1"/>
        <v>0</v>
      </c>
      <c r="H45" s="2545"/>
      <c r="I45" s="3238"/>
      <c r="J45" s="3236"/>
    </row>
    <row r="46" spans="1:10">
      <c r="A46" s="1566" t="s">
        <v>1074</v>
      </c>
      <c r="C46" s="2722"/>
      <c r="D46" s="2546"/>
      <c r="E46" s="2545">
        <v>0</v>
      </c>
      <c r="F46" s="2545"/>
      <c r="G46" s="2543">
        <f t="shared" si="1"/>
        <v>0</v>
      </c>
      <c r="H46" s="2545"/>
      <c r="I46" s="3237"/>
      <c r="J46" s="3236"/>
    </row>
    <row r="47" spans="1:10">
      <c r="A47" s="2626" t="s">
        <v>1289</v>
      </c>
      <c r="C47" s="2722"/>
      <c r="D47" s="2546"/>
      <c r="E47" s="2545">
        <v>0</v>
      </c>
      <c r="F47" s="2545"/>
      <c r="G47" s="2543">
        <f t="shared" si="1"/>
        <v>0</v>
      </c>
      <c r="H47" s="2545"/>
      <c r="I47" s="3237"/>
      <c r="J47" s="3236"/>
    </row>
    <row r="48" spans="1:10">
      <c r="A48" s="1566" t="s">
        <v>541</v>
      </c>
      <c r="C48" s="2722"/>
      <c r="D48" s="2546"/>
      <c r="E48" s="2545">
        <v>0</v>
      </c>
      <c r="F48" s="2545"/>
      <c r="G48" s="2543">
        <f t="shared" si="1"/>
        <v>0</v>
      </c>
      <c r="H48" s="2545"/>
      <c r="I48" s="3237"/>
      <c r="J48" s="3236"/>
    </row>
    <row r="49" spans="1:10">
      <c r="A49" s="1566" t="s">
        <v>542</v>
      </c>
      <c r="C49" s="2722"/>
      <c r="D49" s="2546"/>
      <c r="E49" s="2545">
        <v>0</v>
      </c>
      <c r="F49" s="2545"/>
      <c r="G49" s="2543">
        <f t="shared" si="1"/>
        <v>0</v>
      </c>
      <c r="H49" s="2545"/>
      <c r="I49" s="3237"/>
      <c r="J49" s="3236"/>
    </row>
    <row r="50" spans="1:10">
      <c r="A50" s="1566" t="s">
        <v>543</v>
      </c>
      <c r="C50" s="2722"/>
      <c r="D50" s="2546"/>
      <c r="E50" s="2545">
        <v>276107</v>
      </c>
      <c r="F50" s="2545"/>
      <c r="G50" s="2543">
        <f t="shared" si="1"/>
        <v>276107</v>
      </c>
      <c r="H50" s="2545"/>
      <c r="I50" s="3237"/>
      <c r="J50" s="3236"/>
    </row>
    <row r="51" spans="1:10">
      <c r="A51" s="1566" t="s">
        <v>1452</v>
      </c>
      <c r="C51" s="2722"/>
      <c r="D51" s="2546"/>
      <c r="E51" s="2545">
        <v>0</v>
      </c>
      <c r="F51" s="2545"/>
      <c r="G51" s="2543">
        <f t="shared" si="1"/>
        <v>0</v>
      </c>
      <c r="H51" s="2545"/>
      <c r="I51" s="3237"/>
      <c r="J51" s="3236"/>
    </row>
    <row r="52" spans="1:10">
      <c r="A52" s="1566" t="s">
        <v>544</v>
      </c>
      <c r="C52" s="2722"/>
      <c r="D52" s="2546"/>
      <c r="E52" s="2545">
        <v>2669668</v>
      </c>
      <c r="F52" s="2545"/>
      <c r="G52" s="2543">
        <f t="shared" si="1"/>
        <v>2669668</v>
      </c>
      <c r="H52" s="2545"/>
      <c r="I52" s="3238"/>
      <c r="J52" s="3236"/>
    </row>
    <row r="53" spans="1:10">
      <c r="A53" s="1566" t="s">
        <v>545</v>
      </c>
      <c r="C53" s="2722"/>
      <c r="D53" s="2546"/>
      <c r="E53" s="2545">
        <v>0</v>
      </c>
      <c r="F53" s="2545"/>
      <c r="G53" s="2543">
        <f t="shared" si="1"/>
        <v>0</v>
      </c>
      <c r="H53" s="2545"/>
      <c r="I53" s="3238"/>
      <c r="J53" s="3236"/>
    </row>
    <row r="54" spans="1:10">
      <c r="A54" s="1566" t="s">
        <v>546</v>
      </c>
      <c r="C54" s="2722"/>
      <c r="D54" s="2546"/>
      <c r="E54" s="2545">
        <v>0</v>
      </c>
      <c r="F54" s="2545"/>
      <c r="G54" s="2543">
        <f t="shared" si="1"/>
        <v>0</v>
      </c>
      <c r="H54" s="2545"/>
      <c r="I54" s="3238"/>
      <c r="J54" s="3236"/>
    </row>
    <row r="55" spans="1:10">
      <c r="A55" s="1566" t="s">
        <v>547</v>
      </c>
      <c r="C55" s="2722"/>
      <c r="D55" s="2546"/>
      <c r="E55" s="2545">
        <v>258198</v>
      </c>
      <c r="F55" s="2545"/>
      <c r="G55" s="2543">
        <f t="shared" si="1"/>
        <v>258198</v>
      </c>
      <c r="H55" s="2545"/>
      <c r="I55" s="3237"/>
      <c r="J55" s="3236"/>
    </row>
    <row r="56" spans="1:10">
      <c r="A56" s="1566" t="s">
        <v>548</v>
      </c>
      <c r="C56" s="2722"/>
      <c r="D56" s="2546"/>
      <c r="E56" s="2545">
        <v>12825750</v>
      </c>
      <c r="F56" s="2545"/>
      <c r="G56" s="2543">
        <f t="shared" si="1"/>
        <v>12825750</v>
      </c>
      <c r="H56" s="2545"/>
      <c r="I56" s="3237"/>
      <c r="J56" s="3236"/>
    </row>
    <row r="57" spans="1:10">
      <c r="A57" s="1566" t="s">
        <v>549</v>
      </c>
      <c r="C57" s="2722"/>
      <c r="D57" s="2546"/>
      <c r="E57" s="2545">
        <v>0</v>
      </c>
      <c r="F57" s="2545"/>
      <c r="G57" s="2543">
        <f t="shared" si="1"/>
        <v>0</v>
      </c>
      <c r="H57" s="2545"/>
      <c r="I57" s="3238"/>
      <c r="J57" s="3236"/>
    </row>
    <row r="58" spans="1:10">
      <c r="A58" s="1566" t="s">
        <v>550</v>
      </c>
      <c r="C58" s="2722"/>
      <c r="D58" s="2546"/>
      <c r="E58" s="2545">
        <v>0</v>
      </c>
      <c r="F58" s="2545"/>
      <c r="G58" s="2543">
        <f t="shared" si="1"/>
        <v>0</v>
      </c>
      <c r="H58" s="2545"/>
      <c r="I58" s="3238"/>
      <c r="J58" s="3236"/>
    </row>
    <row r="59" spans="1:10">
      <c r="A59" s="1566" t="s">
        <v>551</v>
      </c>
      <c r="C59" s="2722"/>
      <c r="D59" s="2546"/>
      <c r="E59" s="2545">
        <v>0</v>
      </c>
      <c r="F59" s="2545"/>
      <c r="G59" s="2543">
        <f t="shared" si="1"/>
        <v>0</v>
      </c>
      <c r="H59" s="2545"/>
      <c r="I59" s="3237"/>
      <c r="J59" s="3236"/>
    </row>
    <row r="60" spans="1:10">
      <c r="A60" s="1566" t="s">
        <v>552</v>
      </c>
      <c r="C60" s="2722"/>
      <c r="D60" s="2546"/>
      <c r="E60" s="2545">
        <v>0</v>
      </c>
      <c r="F60" s="2545"/>
      <c r="G60" s="2543">
        <f t="shared" si="1"/>
        <v>0</v>
      </c>
      <c r="H60" s="2545"/>
      <c r="I60" s="3237"/>
      <c r="J60" s="3236"/>
    </row>
    <row r="61" spans="1:10">
      <c r="A61" s="1566" t="s">
        <v>553</v>
      </c>
      <c r="C61" s="2722"/>
      <c r="D61" s="2546"/>
      <c r="E61" s="2545">
        <v>0</v>
      </c>
      <c r="F61" s="2545"/>
      <c r="G61" s="2543">
        <f t="shared" si="1"/>
        <v>0</v>
      </c>
      <c r="H61" s="2545"/>
      <c r="I61" s="3237"/>
      <c r="J61" s="3236"/>
    </row>
    <row r="62" spans="1:10">
      <c r="A62" s="1566" t="s">
        <v>554</v>
      </c>
      <c r="C62" s="2722"/>
      <c r="D62" s="2546"/>
      <c r="E62" s="2545">
        <v>0</v>
      </c>
      <c r="F62" s="2545"/>
      <c r="G62" s="2543">
        <f t="shared" si="1"/>
        <v>0</v>
      </c>
      <c r="H62" s="2545"/>
      <c r="I62" s="3237"/>
      <c r="J62" s="3236"/>
    </row>
    <row r="63" spans="1:10">
      <c r="A63" s="1566" t="s">
        <v>981</v>
      </c>
      <c r="C63" s="2722"/>
      <c r="D63" s="2546"/>
      <c r="E63" s="2545">
        <v>0</v>
      </c>
      <c r="F63" s="2545"/>
      <c r="G63" s="2543">
        <f t="shared" si="1"/>
        <v>0</v>
      </c>
      <c r="H63" s="2545"/>
      <c r="I63" s="3238"/>
      <c r="J63" s="3236"/>
    </row>
    <row r="64" spans="1:10">
      <c r="A64" s="2540" t="s">
        <v>555</v>
      </c>
      <c r="B64" s="2528"/>
      <c r="C64" s="3565">
        <v>28136329000</v>
      </c>
      <c r="D64" s="2547"/>
      <c r="E64" s="2543"/>
      <c r="F64" s="2543"/>
      <c r="G64" s="2545"/>
      <c r="H64" s="2543"/>
      <c r="I64" s="3237"/>
      <c r="J64" s="3236"/>
    </row>
    <row r="65" spans="1:10" ht="15">
      <c r="A65" s="1566" t="s">
        <v>1073</v>
      </c>
      <c r="B65" s="2527"/>
      <c r="C65" s="3562"/>
      <c r="D65" s="2546"/>
      <c r="E65" s="2545">
        <v>0</v>
      </c>
      <c r="F65" s="2545"/>
      <c r="G65" s="2543">
        <f>ROUND(SUM(E65),0)</f>
        <v>0</v>
      </c>
      <c r="H65" s="2545"/>
      <c r="I65" s="3239"/>
      <c r="J65" s="2716"/>
    </row>
    <row r="66" spans="1:10" ht="15">
      <c r="A66" s="1566" t="s">
        <v>556</v>
      </c>
      <c r="B66" s="2527"/>
      <c r="C66" s="3562"/>
      <c r="D66" s="2548"/>
      <c r="E66" s="2545">
        <v>0</v>
      </c>
      <c r="F66" s="2545"/>
      <c r="G66" s="2543">
        <f t="shared" ref="G66:G78" si="2">ROUND(SUM(E66),0)</f>
        <v>0</v>
      </c>
      <c r="H66" s="2545"/>
      <c r="I66" s="3239"/>
      <c r="J66" s="2716"/>
    </row>
    <row r="67" spans="1:10" ht="15">
      <c r="A67" s="1566" t="s">
        <v>557</v>
      </c>
      <c r="B67" s="2527"/>
      <c r="C67" s="3562"/>
      <c r="D67" s="2548"/>
      <c r="E67" s="2545">
        <v>0</v>
      </c>
      <c r="F67" s="2545"/>
      <c r="G67" s="2543">
        <f t="shared" si="2"/>
        <v>0</v>
      </c>
      <c r="H67" s="2545"/>
      <c r="I67" s="3240"/>
      <c r="J67" s="3236"/>
    </row>
    <row r="68" spans="1:10" ht="15">
      <c r="A68" s="1566" t="s">
        <v>558</v>
      </c>
      <c r="B68" s="2549"/>
      <c r="C68" s="3562"/>
      <c r="D68" s="2548"/>
      <c r="E68" s="2545">
        <v>0</v>
      </c>
      <c r="F68" s="2545"/>
      <c r="G68" s="2543">
        <f t="shared" si="2"/>
        <v>0</v>
      </c>
      <c r="H68" s="2545"/>
      <c r="I68" s="3240"/>
      <c r="J68" s="3236"/>
    </row>
    <row r="69" spans="1:10" ht="15">
      <c r="A69" s="2550" t="s">
        <v>559</v>
      </c>
      <c r="B69" s="2551"/>
      <c r="C69" s="3562"/>
      <c r="D69" s="2548"/>
      <c r="E69" s="2545">
        <v>0</v>
      </c>
      <c r="F69" s="2545"/>
      <c r="G69" s="2543">
        <f t="shared" si="2"/>
        <v>0</v>
      </c>
      <c r="H69" s="2545"/>
      <c r="I69" s="3240"/>
      <c r="J69" s="3236"/>
    </row>
    <row r="70" spans="1:10" ht="15">
      <c r="A70" s="1566" t="s">
        <v>560</v>
      </c>
      <c r="B70" s="2527"/>
      <c r="C70" s="3562"/>
      <c r="D70" s="2546"/>
      <c r="E70" s="2545">
        <v>0</v>
      </c>
      <c r="F70" s="2545"/>
      <c r="G70" s="2543">
        <f t="shared" si="2"/>
        <v>0</v>
      </c>
      <c r="H70" s="2545"/>
      <c r="I70" s="3240"/>
      <c r="J70" s="3236"/>
    </row>
    <row r="71" spans="1:10" ht="15">
      <c r="A71" s="1570" t="s">
        <v>561</v>
      </c>
      <c r="B71" s="2552"/>
      <c r="C71" s="3562"/>
      <c r="D71" s="2553"/>
      <c r="E71" s="2719">
        <v>61244939</v>
      </c>
      <c r="F71" s="2719"/>
      <c r="G71" s="2543">
        <f t="shared" si="2"/>
        <v>61244939</v>
      </c>
      <c r="H71" s="2719"/>
      <c r="I71" s="3240"/>
      <c r="J71" s="3236"/>
    </row>
    <row r="72" spans="1:10" ht="15">
      <c r="A72" s="1566" t="s">
        <v>562</v>
      </c>
      <c r="B72" s="2554"/>
      <c r="C72" s="3562"/>
      <c r="D72" s="2542"/>
      <c r="E72" s="2719">
        <v>220195000</v>
      </c>
      <c r="F72" s="2719"/>
      <c r="G72" s="2543">
        <f t="shared" si="2"/>
        <v>220195000</v>
      </c>
      <c r="H72" s="2719"/>
      <c r="I72" s="3240"/>
      <c r="J72" s="3236"/>
    </row>
    <row r="73" spans="1:10" ht="15">
      <c r="A73" s="1566" t="s">
        <v>563</v>
      </c>
      <c r="B73" s="2555"/>
      <c r="C73" s="3562"/>
      <c r="D73" s="2556"/>
      <c r="E73" s="2545">
        <v>0</v>
      </c>
      <c r="F73" s="2545"/>
      <c r="G73" s="2543">
        <f t="shared" si="2"/>
        <v>0</v>
      </c>
      <c r="H73" s="2545"/>
      <c r="I73" s="3235"/>
      <c r="J73" s="3236"/>
    </row>
    <row r="74" spans="1:10" ht="15">
      <c r="A74" s="1566" t="s">
        <v>564</v>
      </c>
      <c r="B74" s="2555"/>
      <c r="C74" s="3562"/>
      <c r="D74" s="2556"/>
      <c r="E74" s="2545">
        <v>0</v>
      </c>
      <c r="F74" s="2545"/>
      <c r="G74" s="2543">
        <f t="shared" si="2"/>
        <v>0</v>
      </c>
      <c r="H74" s="2545"/>
      <c r="I74" s="3241"/>
      <c r="J74" s="3236"/>
    </row>
    <row r="75" spans="1:10" ht="15">
      <c r="A75" s="1566" t="s">
        <v>565</v>
      </c>
      <c r="B75" s="2555"/>
      <c r="C75" s="3562"/>
      <c r="D75" s="2556"/>
      <c r="E75" s="2545">
        <v>0</v>
      </c>
      <c r="F75" s="2545"/>
      <c r="G75" s="2543">
        <f t="shared" si="2"/>
        <v>0</v>
      </c>
      <c r="H75" s="2545"/>
      <c r="I75" s="3241"/>
      <c r="J75" s="3236"/>
    </row>
    <row r="76" spans="1:10" ht="15">
      <c r="A76" s="1566" t="s">
        <v>983</v>
      </c>
      <c r="B76" s="2555"/>
      <c r="C76" s="3562"/>
      <c r="D76" s="2556"/>
      <c r="E76" s="2545">
        <v>0</v>
      </c>
      <c r="F76" s="2545"/>
      <c r="G76" s="2543">
        <f t="shared" si="2"/>
        <v>0</v>
      </c>
      <c r="H76" s="2545"/>
      <c r="I76" s="3241"/>
      <c r="J76" s="3236"/>
    </row>
    <row r="77" spans="1:10" ht="15">
      <c r="A77" s="1566" t="s">
        <v>982</v>
      </c>
      <c r="B77" s="2555"/>
      <c r="C77" s="3562"/>
      <c r="D77" s="2556"/>
      <c r="E77" s="2545">
        <v>0</v>
      </c>
      <c r="F77" s="2545"/>
      <c r="G77" s="2543">
        <f t="shared" si="2"/>
        <v>0</v>
      </c>
      <c r="H77" s="2545"/>
      <c r="I77" s="3235"/>
      <c r="J77" s="3236"/>
    </row>
    <row r="78" spans="1:10" ht="15">
      <c r="A78" s="1566" t="s">
        <v>566</v>
      </c>
      <c r="B78" s="2555"/>
      <c r="C78" s="3562"/>
      <c r="D78" s="2556"/>
      <c r="E78" s="2545">
        <v>0</v>
      </c>
      <c r="F78" s="2545"/>
      <c r="G78" s="2543">
        <f t="shared" si="2"/>
        <v>0</v>
      </c>
      <c r="H78" s="2545"/>
      <c r="I78" s="3235"/>
      <c r="J78" s="3236"/>
    </row>
    <row r="79" spans="1:10" ht="15">
      <c r="A79" s="2540" t="s">
        <v>567</v>
      </c>
      <c r="B79" s="2557"/>
      <c r="C79" s="3565">
        <v>1834000</v>
      </c>
      <c r="D79" s="2558"/>
      <c r="E79" s="2545"/>
      <c r="F79" s="2545"/>
      <c r="G79" s="2545"/>
      <c r="H79" s="2545"/>
      <c r="I79" s="3241"/>
      <c r="J79" s="3236"/>
    </row>
    <row r="80" spans="1:10" ht="15">
      <c r="A80" s="1566" t="s">
        <v>568</v>
      </c>
      <c r="B80" s="2559"/>
      <c r="C80" s="3562"/>
      <c r="D80" s="2558"/>
      <c r="E80" s="2545">
        <v>0</v>
      </c>
      <c r="F80" s="2545"/>
      <c r="G80" s="2543">
        <f>ROUND(SUM(E80),0)</f>
        <v>0</v>
      </c>
      <c r="H80" s="2545"/>
      <c r="I80" s="3241"/>
      <c r="J80" s="3236"/>
    </row>
    <row r="81" spans="1:15" ht="15">
      <c r="A81" s="2540" t="s">
        <v>569</v>
      </c>
      <c r="B81" s="2560"/>
      <c r="C81" s="3565">
        <v>47081000</v>
      </c>
      <c r="D81" s="2546"/>
      <c r="E81" s="2729"/>
      <c r="F81" s="2729"/>
      <c r="G81" s="2729"/>
      <c r="H81" s="2729"/>
      <c r="I81" s="3235"/>
      <c r="J81" s="3236"/>
    </row>
    <row r="82" spans="1:15">
      <c r="A82" s="1566" t="s">
        <v>570</v>
      </c>
      <c r="B82" s="2561"/>
      <c r="C82" s="3562"/>
      <c r="D82" s="2546"/>
      <c r="E82" s="2729">
        <v>1823292</v>
      </c>
      <c r="F82" s="2729"/>
      <c r="G82" s="2543">
        <f>ROUND(SUM(E82),0)</f>
        <v>1823292</v>
      </c>
      <c r="H82" s="2729"/>
      <c r="I82" s="3242"/>
      <c r="J82" s="3236"/>
    </row>
    <row r="83" spans="1:15">
      <c r="A83" s="2540" t="s">
        <v>571</v>
      </c>
      <c r="B83" s="2562"/>
      <c r="C83" s="3565">
        <v>2477800</v>
      </c>
      <c r="D83" s="2563"/>
      <c r="E83" s="2719"/>
      <c r="F83" s="2719"/>
      <c r="G83" s="2719"/>
      <c r="H83" s="2719"/>
      <c r="I83" s="3242"/>
      <c r="J83" s="3236"/>
    </row>
    <row r="84" spans="1:15">
      <c r="A84" s="1566" t="s">
        <v>572</v>
      </c>
      <c r="B84" s="2564"/>
      <c r="C84" s="2730"/>
      <c r="D84" s="2563"/>
      <c r="E84" s="2545">
        <v>0</v>
      </c>
      <c r="F84" s="2545"/>
      <c r="G84" s="2543">
        <f>ROUND(SUM(E84),0)</f>
        <v>0</v>
      </c>
      <c r="H84" s="2545"/>
      <c r="I84" s="3243"/>
      <c r="J84" s="3236"/>
    </row>
    <row r="85" spans="1:15">
      <c r="A85" s="1566" t="s">
        <v>573</v>
      </c>
      <c r="B85" s="2564"/>
      <c r="C85" s="2730"/>
      <c r="D85" s="2563"/>
      <c r="E85" s="2545">
        <v>0</v>
      </c>
      <c r="F85" s="2545"/>
      <c r="G85" s="2543">
        <f t="shared" ref="G85:G87" si="3">ROUND(SUM(E85),0)</f>
        <v>0</v>
      </c>
      <c r="H85" s="2545"/>
      <c r="I85" s="3243"/>
      <c r="J85" s="3236"/>
    </row>
    <row r="86" spans="1:15">
      <c r="A86" s="1566" t="s">
        <v>574</v>
      </c>
      <c r="B86" s="2564"/>
      <c r="C86" s="2730"/>
      <c r="D86" s="2563"/>
      <c r="E86" s="2545">
        <v>0</v>
      </c>
      <c r="F86" s="2545"/>
      <c r="G86" s="2543">
        <f t="shared" si="3"/>
        <v>0</v>
      </c>
      <c r="H86" s="2545"/>
      <c r="I86" s="3243"/>
      <c r="J86" s="3236"/>
    </row>
    <row r="87" spans="1:15">
      <c r="A87" s="1566" t="s">
        <v>575</v>
      </c>
      <c r="B87" s="1570"/>
      <c r="C87" s="2730"/>
      <c r="D87" s="2548"/>
      <c r="E87" s="2545">
        <v>0</v>
      </c>
      <c r="F87" s="2545"/>
      <c r="G87" s="2543">
        <f t="shared" si="3"/>
        <v>0</v>
      </c>
      <c r="H87" s="2545"/>
      <c r="I87" s="3243"/>
      <c r="J87" s="3236"/>
    </row>
    <row r="88" spans="1:15">
      <c r="A88" s="2625" t="s">
        <v>1386</v>
      </c>
      <c r="B88" s="2626"/>
      <c r="C88" s="3565">
        <v>8190000</v>
      </c>
      <c r="D88" s="2548"/>
      <c r="E88" s="2545"/>
      <c r="F88" s="2545"/>
      <c r="G88" s="2543"/>
      <c r="H88" s="2545"/>
      <c r="I88" s="3243"/>
      <c r="J88" s="3236"/>
    </row>
    <row r="89" spans="1:15">
      <c r="A89" s="2626" t="s">
        <v>1387</v>
      </c>
      <c r="B89" s="2626"/>
      <c r="C89" s="2731"/>
      <c r="D89" s="3548"/>
      <c r="E89" s="2545">
        <v>0</v>
      </c>
      <c r="F89" s="3548"/>
      <c r="G89" s="2543">
        <f>ROUND(SUM(E89),0)</f>
        <v>0</v>
      </c>
      <c r="H89" s="3548"/>
      <c r="I89" s="3243"/>
      <c r="J89" s="3236"/>
    </row>
    <row r="90" spans="1:15">
      <c r="A90" s="2565" t="s">
        <v>57</v>
      </c>
      <c r="B90" s="2566"/>
      <c r="C90" s="3244">
        <f>ROUND(SUM(C9:C89),0)</f>
        <v>31394849405</v>
      </c>
      <c r="D90" s="3549"/>
      <c r="E90" s="3244">
        <f>ROUND(SUM(E9:E89),0)</f>
        <v>346531388</v>
      </c>
      <c r="F90" s="3549">
        <f t="shared" ref="F90" si="4">ROUND(SUM(F9:F89),0)</f>
        <v>0</v>
      </c>
      <c r="G90" s="3244">
        <f>ROUND(SUM(G9:G89),0)</f>
        <v>346531388</v>
      </c>
      <c r="H90" s="3549">
        <f t="shared" ref="H90" si="5">ROUND(SUM(H9:H89),0)</f>
        <v>0</v>
      </c>
      <c r="I90" s="3243"/>
      <c r="J90" s="3236"/>
    </row>
    <row r="91" spans="1:15">
      <c r="A91" s="2567" t="s">
        <v>576</v>
      </c>
      <c r="B91" s="3246"/>
      <c r="C91" s="3249"/>
      <c r="D91" s="3248"/>
      <c r="E91" s="2543">
        <v>-1089495</v>
      </c>
      <c r="F91" s="3248"/>
      <c r="G91" s="2543">
        <f>ROUND(SUM(E91),0)</f>
        <v>-1089495</v>
      </c>
      <c r="H91" s="3248"/>
      <c r="I91" s="3245"/>
      <c r="J91" s="1569"/>
    </row>
    <row r="92" spans="1:15" s="1581" customFormat="1">
      <c r="A92" s="2567" t="s">
        <v>1453</v>
      </c>
      <c r="B92" s="3246"/>
      <c r="C92" s="3249"/>
      <c r="D92" s="3248"/>
      <c r="E92" s="2543">
        <v>0</v>
      </c>
      <c r="F92" s="3248"/>
      <c r="G92" s="2543">
        <f>ROUND(SUM(E92),0)</f>
        <v>0</v>
      </c>
      <c r="H92" s="3248"/>
      <c r="I92" s="1571"/>
      <c r="J92" s="1569"/>
      <c r="K92" s="1024"/>
      <c r="L92" s="1024"/>
      <c r="M92" s="3231"/>
      <c r="N92" s="3231"/>
      <c r="O92" s="1024"/>
    </row>
    <row r="93" spans="1:15" s="1581" customFormat="1" ht="25.5">
      <c r="A93" s="2567" t="s">
        <v>1454</v>
      </c>
      <c r="B93" s="3246"/>
      <c r="C93" s="3249"/>
      <c r="D93" s="3248"/>
      <c r="E93" s="2543">
        <v>0</v>
      </c>
      <c r="F93" s="3248"/>
      <c r="G93" s="2543">
        <f>ROUND(SUM(E93),0)</f>
        <v>0</v>
      </c>
      <c r="H93" s="3248"/>
      <c r="I93" s="1571"/>
      <c r="J93" s="1569"/>
      <c r="K93" s="1024"/>
      <c r="L93" s="1024"/>
      <c r="M93" s="3231"/>
      <c r="N93" s="3231"/>
      <c r="O93" s="1024"/>
    </row>
    <row r="94" spans="1:15" s="1581" customFormat="1">
      <c r="A94" s="2567" t="s">
        <v>577</v>
      </c>
      <c r="B94" s="3250"/>
      <c r="C94" s="3247"/>
      <c r="D94" s="3251"/>
      <c r="E94" s="2543">
        <v>98</v>
      </c>
      <c r="F94" s="3251"/>
      <c r="G94" s="2543">
        <f>ROUND(SUM(E94),0)</f>
        <v>98</v>
      </c>
      <c r="H94" s="3251"/>
      <c r="I94" s="3252"/>
      <c r="J94" s="1569"/>
      <c r="K94" s="1024"/>
      <c r="L94" s="1024"/>
      <c r="M94" s="3231"/>
      <c r="N94" s="3231"/>
      <c r="O94" s="1024"/>
    </row>
    <row r="95" spans="1:15" s="1581" customFormat="1" ht="13.5" thickBot="1">
      <c r="A95" s="2565" t="s">
        <v>1369</v>
      </c>
      <c r="B95" s="2528"/>
      <c r="C95" s="3550">
        <f>ROUND(SUM(C90:C94),0)</f>
        <v>31394849405</v>
      </c>
      <c r="D95" s="3253"/>
      <c r="E95" s="3254">
        <f t="shared" ref="E95:F95" si="6">ROUND(SUM(E90:E94),0)</f>
        <v>345441991</v>
      </c>
      <c r="F95" s="3253">
        <f t="shared" si="6"/>
        <v>0</v>
      </c>
      <c r="G95" s="3254">
        <f>ROUND(SUM(G90:G94),0)</f>
        <v>345441991</v>
      </c>
      <c r="H95" s="3253">
        <f t="shared" ref="H95" si="7">ROUND(SUM(H90:H94),0)</f>
        <v>0</v>
      </c>
      <c r="I95" s="3252"/>
      <c r="J95" s="1569"/>
      <c r="K95" s="1024"/>
      <c r="L95" s="1024"/>
      <c r="M95" s="3231"/>
      <c r="N95" s="3231"/>
      <c r="O95" s="1024"/>
    </row>
    <row r="96" spans="1:15" ht="13.5" thickTop="1">
      <c r="A96" s="2568"/>
      <c r="B96" s="2529"/>
      <c r="C96" s="2619"/>
      <c r="D96" s="1571"/>
      <c r="E96" s="2569"/>
      <c r="F96" s="1571"/>
      <c r="G96" s="2545"/>
      <c r="H96" s="1571"/>
      <c r="I96" s="3252"/>
      <c r="J96" s="1569"/>
    </row>
    <row r="97" spans="1:10">
      <c r="A97" s="2570" t="s">
        <v>1501</v>
      </c>
      <c r="B97" s="2529"/>
      <c r="C97" s="2529"/>
      <c r="D97" s="1571"/>
      <c r="E97" s="2569"/>
      <c r="F97" s="2569"/>
      <c r="G97" s="2569"/>
      <c r="H97" s="2569"/>
      <c r="I97" s="3252"/>
      <c r="J97" s="1569"/>
    </row>
    <row r="98" spans="1:10">
      <c r="A98" s="2570" t="s">
        <v>1063</v>
      </c>
      <c r="B98" s="2529"/>
      <c r="C98" s="2529"/>
      <c r="D98" s="1571"/>
      <c r="E98" s="2569"/>
      <c r="F98" s="2569"/>
      <c r="G98" s="2569"/>
      <c r="H98" s="2569"/>
      <c r="I98" s="3252"/>
      <c r="J98" s="1569"/>
    </row>
    <row r="99" spans="1:10">
      <c r="A99" s="2571" t="s">
        <v>1031</v>
      </c>
      <c r="B99" s="2572"/>
      <c r="C99" s="2620"/>
      <c r="D99" s="1569"/>
      <c r="E99" s="2569"/>
      <c r="F99" s="2569"/>
      <c r="G99" s="2569"/>
      <c r="H99" s="2569"/>
      <c r="I99" s="1569"/>
      <c r="J99" s="1569"/>
    </row>
    <row r="100" spans="1:10">
      <c r="A100" s="2732" t="s">
        <v>1032</v>
      </c>
      <c r="B100" s="1571"/>
      <c r="C100" s="1571"/>
      <c r="D100" s="2564"/>
      <c r="E100" s="2526"/>
      <c r="F100" s="2526"/>
      <c r="G100" s="2526"/>
      <c r="H100" s="2526"/>
    </row>
    <row r="101" spans="1:10">
      <c r="A101" s="2732" t="s">
        <v>1033</v>
      </c>
      <c r="B101" s="1573"/>
      <c r="C101" s="2733"/>
      <c r="D101" s="1574"/>
      <c r="E101" s="2526"/>
      <c r="F101" s="2526"/>
      <c r="G101" s="2526"/>
      <c r="H101" s="2526"/>
    </row>
    <row r="102" spans="1:10">
      <c r="B102" s="1573"/>
      <c r="C102" s="3255"/>
      <c r="D102" s="1574"/>
      <c r="E102" s="3256"/>
      <c r="F102" s="3256"/>
      <c r="G102" s="3256"/>
      <c r="H102" s="3256"/>
    </row>
    <row r="103" spans="1:10">
      <c r="B103" s="2615"/>
      <c r="C103" s="3257"/>
      <c r="D103" s="3258"/>
      <c r="E103" s="3258"/>
      <c r="F103" s="3258"/>
      <c r="G103" s="3258"/>
      <c r="H103" s="3258"/>
    </row>
    <row r="104" spans="1:10">
      <c r="B104" s="1582"/>
      <c r="C104" s="2637"/>
      <c r="D104" s="1575"/>
      <c r="E104" s="1572"/>
      <c r="F104" s="1572"/>
      <c r="G104" s="1572"/>
      <c r="H104" s="1572"/>
    </row>
    <row r="105" spans="1:10">
      <c r="B105" s="1582"/>
      <c r="C105" s="2637"/>
      <c r="D105" s="1575"/>
      <c r="E105" s="1572"/>
      <c r="F105" s="1572"/>
      <c r="G105" s="1572"/>
      <c r="H105" s="1572"/>
    </row>
    <row r="106" spans="1:10">
      <c r="A106" s="1570"/>
      <c r="B106" s="1571"/>
      <c r="C106" s="1571"/>
      <c r="I106" s="3259"/>
    </row>
    <row r="107" spans="1:10">
      <c r="A107" s="1570"/>
      <c r="B107" s="1571"/>
      <c r="C107" s="1571"/>
    </row>
    <row r="109" spans="1:10">
      <c r="A109" s="1571"/>
      <c r="B109" s="1576"/>
      <c r="C109" s="1576"/>
      <c r="D109" s="1576"/>
      <c r="E109" s="1568"/>
      <c r="F109" s="1568"/>
      <c r="G109" s="1568"/>
      <c r="H109" s="1568"/>
    </row>
    <row r="110" spans="1:10" ht="12.75" customHeight="1">
      <c r="A110" s="1571"/>
      <c r="B110" s="1576"/>
      <c r="C110" s="1576"/>
      <c r="D110" s="1576"/>
      <c r="E110" s="1568"/>
      <c r="F110" s="1568"/>
      <c r="G110" s="1568"/>
      <c r="H110" s="1568"/>
    </row>
    <row r="111" spans="1:10" ht="12.75" customHeight="1">
      <c r="A111" s="1571"/>
      <c r="B111" s="1576"/>
      <c r="C111" s="1576"/>
      <c r="D111" s="1576"/>
      <c r="E111" s="1568"/>
      <c r="F111" s="1568"/>
      <c r="G111" s="1568"/>
      <c r="H111" s="1568"/>
    </row>
    <row r="112" spans="1:10" ht="12.75" customHeight="1">
      <c r="A112" s="1571"/>
      <c r="B112" s="1576"/>
      <c r="C112" s="1576"/>
      <c r="D112" s="1576"/>
      <c r="E112" s="1568"/>
      <c r="F112" s="1568"/>
      <c r="G112" s="1568"/>
      <c r="H112" s="1568"/>
    </row>
    <row r="113" spans="1:3">
      <c r="A113" s="1571"/>
      <c r="B113" s="1576"/>
      <c r="C113" s="1576"/>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1" firstPageNumber="48" fitToHeight="2" orientation="landscape" useFirstPageNumber="1" r:id="rId2"/>
  <headerFooter scaleWithDoc="0" alignWithMargins="0">
    <oddFooter>&amp;C&amp;8&amp;P</oddFooter>
  </headerFooter>
  <rowBreaks count="1" manualBreakCount="1">
    <brk id="56" max="10" man="1"/>
  </rowBreaks>
  <ignoredErrors>
    <ignoredError sqref="G90" formula="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55"/>
  <sheetViews>
    <sheetView showGridLines="0" zoomScale="80" zoomScaleNormal="80" workbookViewId="0"/>
  </sheetViews>
  <sheetFormatPr defaultColWidth="8.88671875" defaultRowHeight="15" customHeight="1"/>
  <cols>
    <col min="1" max="1" width="55.109375" style="2100" customWidth="1"/>
    <col min="2" max="2" width="4.6640625" style="2100" customWidth="1"/>
    <col min="3" max="3" width="21.21875" style="2101" customWidth="1"/>
    <col min="4" max="4" width="2.33203125" style="2101" customWidth="1"/>
    <col min="5" max="5" width="1.6640625" style="2102" customWidth="1"/>
    <col min="6" max="6" width="23.6640625" style="2102" customWidth="1"/>
    <col min="7" max="10" width="8.88671875" style="2101"/>
    <col min="11" max="16384" width="8.88671875" style="2100"/>
  </cols>
  <sheetData>
    <row r="1" spans="1:10" ht="15" customHeight="1">
      <c r="A1" s="1052" t="s">
        <v>1064</v>
      </c>
    </row>
    <row r="2" spans="1:10" ht="15" customHeight="1">
      <c r="A2" s="2103"/>
    </row>
    <row r="3" spans="1:10" ht="15" customHeight="1">
      <c r="F3" s="2205" t="s">
        <v>578</v>
      </c>
    </row>
    <row r="4" spans="1:10" ht="18" customHeight="1">
      <c r="A4" s="3263" t="s">
        <v>504</v>
      </c>
      <c r="B4" s="2104"/>
      <c r="C4" s="2104"/>
      <c r="D4" s="2104"/>
      <c r="E4" s="2207"/>
      <c r="F4" s="2207"/>
    </row>
    <row r="5" spans="1:10" ht="18" customHeight="1">
      <c r="A5" s="3263" t="s">
        <v>967</v>
      </c>
      <c r="B5" s="3263"/>
      <c r="C5" s="3263"/>
      <c r="D5" s="3263"/>
      <c r="E5" s="2206"/>
      <c r="F5" s="3263"/>
    </row>
    <row r="6" spans="1:10" ht="18" customHeight="1">
      <c r="A6" s="3263" t="s">
        <v>1473</v>
      </c>
      <c r="B6" s="3264"/>
      <c r="C6" s="3264"/>
      <c r="D6" s="3264"/>
      <c r="E6" s="2206"/>
      <c r="F6" s="3263"/>
    </row>
    <row r="7" spans="1:10" ht="15" customHeight="1">
      <c r="A7" s="3265"/>
      <c r="B7" s="3265"/>
      <c r="C7" s="3265"/>
      <c r="D7" s="3265"/>
      <c r="E7" s="2208"/>
      <c r="F7" s="2208"/>
    </row>
    <row r="8" spans="1:10" ht="15" customHeight="1">
      <c r="A8" s="2106"/>
      <c r="B8" s="2107"/>
      <c r="C8" s="2108"/>
      <c r="D8" s="2108"/>
      <c r="E8" s="2209"/>
      <c r="F8" s="2109"/>
    </row>
    <row r="9" spans="1:10" s="2112" customFormat="1" ht="15" customHeight="1">
      <c r="A9" s="2110"/>
      <c r="B9" s="2110"/>
      <c r="C9" s="2706">
        <v>2018</v>
      </c>
      <c r="D9" s="2706"/>
      <c r="E9" s="2111"/>
      <c r="F9" s="2111"/>
      <c r="G9" s="2099"/>
      <c r="H9" s="2099"/>
      <c r="I9" s="2099"/>
      <c r="J9" s="2099"/>
    </row>
    <row r="10" spans="1:10" ht="15" customHeight="1">
      <c r="A10" s="2113"/>
      <c r="B10" s="2113"/>
      <c r="C10" s="2114" t="s">
        <v>126</v>
      </c>
      <c r="D10" s="2109"/>
      <c r="E10" s="2105"/>
      <c r="F10" s="2114" t="s">
        <v>1474</v>
      </c>
    </row>
    <row r="11" spans="1:10" ht="15" customHeight="1">
      <c r="A11" s="2113"/>
      <c r="B11" s="2113"/>
      <c r="C11" s="3139"/>
      <c r="D11" s="2105"/>
      <c r="E11" s="2105"/>
      <c r="F11" s="3139"/>
    </row>
    <row r="12" spans="1:10" s="2112" customFormat="1" ht="15" customHeight="1">
      <c r="A12" s="2116" t="s">
        <v>479</v>
      </c>
      <c r="B12" s="2116"/>
      <c r="C12" s="2117">
        <v>388501821.91000003</v>
      </c>
      <c r="D12" s="2117"/>
      <c r="E12" s="2118"/>
      <c r="F12" s="2210">
        <f>+C12</f>
        <v>388501821.91000003</v>
      </c>
      <c r="G12" s="2099"/>
      <c r="H12" s="2099"/>
      <c r="I12" s="2099"/>
      <c r="J12" s="2099"/>
    </row>
    <row r="13" spans="1:10" ht="15" customHeight="1">
      <c r="A13" s="2116"/>
      <c r="B13" s="2113"/>
      <c r="C13" s="2115"/>
      <c r="D13" s="2115"/>
      <c r="E13" s="2119"/>
      <c r="F13" s="2122"/>
    </row>
    <row r="14" spans="1:10" ht="15" customHeight="1">
      <c r="A14" s="2116" t="s">
        <v>14</v>
      </c>
      <c r="B14" s="2113"/>
      <c r="C14" s="2120"/>
      <c r="D14" s="2120"/>
      <c r="E14" s="2121"/>
      <c r="F14" s="2122"/>
    </row>
    <row r="15" spans="1:10" ht="15" customHeight="1">
      <c r="A15" s="2113" t="s">
        <v>580</v>
      </c>
      <c r="B15" s="2113"/>
      <c r="C15" s="2087">
        <v>257706871.78999999</v>
      </c>
      <c r="D15" s="2087"/>
      <c r="E15" s="2121"/>
      <c r="F15" s="2122">
        <f>SUM(C15:D15)</f>
        <v>257706871.78999999</v>
      </c>
    </row>
    <row r="16" spans="1:10" ht="15" customHeight="1">
      <c r="A16" s="2113" t="s">
        <v>581</v>
      </c>
      <c r="B16" s="2113"/>
      <c r="C16" s="2087">
        <v>83509114.459999993</v>
      </c>
      <c r="D16" s="2087"/>
      <c r="E16" s="2121"/>
      <c r="F16" s="2122">
        <f t="shared" ref="F16:F21" si="0">SUM(C16:D16)</f>
        <v>83509114.459999993</v>
      </c>
    </row>
    <row r="17" spans="1:15" ht="15" customHeight="1">
      <c r="A17" s="2113" t="s">
        <v>582</v>
      </c>
      <c r="B17" s="2113"/>
      <c r="C17" s="2087">
        <v>12861750.99</v>
      </c>
      <c r="D17" s="2087"/>
      <c r="E17" s="2121"/>
      <c r="F17" s="2122">
        <f t="shared" si="0"/>
        <v>12861750.99</v>
      </c>
    </row>
    <row r="18" spans="1:15" ht="15" customHeight="1">
      <c r="A18" s="2113" t="s">
        <v>583</v>
      </c>
      <c r="B18" s="2113"/>
      <c r="C18" s="2087">
        <v>31432683</v>
      </c>
      <c r="D18" s="2087"/>
      <c r="E18" s="2121"/>
      <c r="F18" s="2122">
        <f t="shared" si="0"/>
        <v>31432683</v>
      </c>
    </row>
    <row r="19" spans="1:15" s="2377" customFormat="1" ht="18" customHeight="1">
      <c r="A19" s="2378" t="s">
        <v>584</v>
      </c>
      <c r="B19" s="2113"/>
      <c r="C19" s="1357">
        <v>0</v>
      </c>
      <c r="D19" s="1357"/>
      <c r="E19" s="2121"/>
      <c r="F19" s="2122">
        <f t="shared" si="0"/>
        <v>0</v>
      </c>
      <c r="G19" s="2115"/>
      <c r="H19" s="2115"/>
      <c r="I19" s="2115"/>
      <c r="J19" s="2115"/>
    </row>
    <row r="20" spans="1:15" ht="15" customHeight="1">
      <c r="A20" s="2113" t="s">
        <v>585</v>
      </c>
      <c r="B20" s="2113"/>
      <c r="C20" s="2087">
        <v>33412.49</v>
      </c>
      <c r="D20" s="2087"/>
      <c r="E20" s="2121"/>
      <c r="F20" s="2122">
        <f t="shared" si="0"/>
        <v>33412.49</v>
      </c>
    </row>
    <row r="21" spans="1:15" ht="15" customHeight="1">
      <c r="A21" s="2113" t="s">
        <v>586</v>
      </c>
      <c r="B21" s="2113"/>
      <c r="C21" s="3270">
        <v>2978914.79</v>
      </c>
      <c r="D21" s="2090"/>
      <c r="E21" s="2123"/>
      <c r="F21" s="2122">
        <f t="shared" si="0"/>
        <v>2978914.79</v>
      </c>
      <c r="G21" s="2102"/>
    </row>
    <row r="22" spans="1:15" s="2112" customFormat="1" ht="15.75">
      <c r="A22" s="2116" t="s">
        <v>152</v>
      </c>
      <c r="B22" s="2116"/>
      <c r="C22" s="3271">
        <f>ROUND(SUM(C15:C21),2)</f>
        <v>388522747.51999998</v>
      </c>
      <c r="D22" s="2126"/>
      <c r="E22" s="2125"/>
      <c r="F22" s="3140">
        <f>ROUND(SUM(F15:F21),2)</f>
        <v>388522747.51999998</v>
      </c>
      <c r="G22" s="2127"/>
      <c r="H22" s="2099"/>
      <c r="I22" s="2099"/>
      <c r="J22" s="2099"/>
    </row>
    <row r="23" spans="1:15" ht="15" customHeight="1">
      <c r="A23" s="2113"/>
      <c r="B23" s="2113"/>
      <c r="C23" s="2120"/>
      <c r="D23" s="2120"/>
      <c r="E23" s="2121"/>
      <c r="F23" s="2122"/>
    </row>
    <row r="24" spans="1:15" ht="15" customHeight="1">
      <c r="A24" s="2116" t="s">
        <v>1026</v>
      </c>
      <c r="B24" s="2113"/>
      <c r="C24" s="2128"/>
      <c r="D24" s="2128"/>
      <c r="E24" s="2121"/>
      <c r="F24" s="2122"/>
    </row>
    <row r="25" spans="1:15" ht="15" customHeight="1">
      <c r="A25" s="2129" t="s">
        <v>587</v>
      </c>
      <c r="B25" s="2113"/>
      <c r="C25" s="2120">
        <v>0</v>
      </c>
      <c r="D25" s="2120"/>
      <c r="E25" s="2121"/>
      <c r="F25" s="2122">
        <f>SUM(C25:D25)</f>
        <v>0</v>
      </c>
    </row>
    <row r="26" spans="1:15" ht="15" customHeight="1">
      <c r="A26" s="2129" t="s">
        <v>588</v>
      </c>
      <c r="B26" s="2113"/>
      <c r="C26" s="2120">
        <v>0</v>
      </c>
      <c r="D26" s="2120"/>
      <c r="E26" s="2121"/>
      <c r="F26" s="2122">
        <f>SUM(C26:D26)</f>
        <v>0</v>
      </c>
    </row>
    <row r="27" spans="1:15" ht="15" customHeight="1">
      <c r="A27" s="2129" t="s">
        <v>589</v>
      </c>
      <c r="B27" s="2113"/>
      <c r="C27" s="2120">
        <v>0</v>
      </c>
      <c r="D27" s="2120"/>
      <c r="E27" s="2123"/>
      <c r="F27" s="2122">
        <f>SUM(C27:D27)</f>
        <v>0</v>
      </c>
    </row>
    <row r="28" spans="1:15" ht="15.75">
      <c r="A28" s="2104" t="s">
        <v>1075</v>
      </c>
      <c r="B28" s="2116"/>
      <c r="C28" s="3140">
        <f>ROUND(SUM(C25:C27),2)</f>
        <v>0</v>
      </c>
      <c r="D28" s="2126"/>
      <c r="E28" s="2125"/>
      <c r="F28" s="3140">
        <f>ROUND(SUM(F25:F27),2)</f>
        <v>0</v>
      </c>
    </row>
    <row r="29" spans="1:15" ht="15" customHeight="1">
      <c r="A29" s="2113"/>
      <c r="B29" s="2113"/>
      <c r="C29" s="2120"/>
      <c r="D29" s="2120"/>
      <c r="E29" s="2121"/>
      <c r="F29" s="2122"/>
    </row>
    <row r="30" spans="1:15" ht="15" customHeight="1">
      <c r="A30" s="2116" t="s">
        <v>590</v>
      </c>
      <c r="B30" s="2116"/>
      <c r="C30" s="2124">
        <f>ROUND(+C22+C28,2)</f>
        <v>388522747.51999998</v>
      </c>
      <c r="D30" s="2124"/>
      <c r="E30" s="2130"/>
      <c r="F30" s="2126">
        <f>ROUND(+F22+F28,2)</f>
        <v>388522747.51999998</v>
      </c>
    </row>
    <row r="31" spans="1:15" ht="15" customHeight="1">
      <c r="A31" s="2113"/>
      <c r="B31" s="2113"/>
      <c r="C31" s="3141"/>
      <c r="D31" s="2122"/>
      <c r="E31" s="2121"/>
      <c r="F31" s="3141"/>
      <c r="G31" s="2102"/>
      <c r="H31" s="2102"/>
      <c r="I31" s="2102"/>
      <c r="J31" s="2102"/>
      <c r="K31" s="2131"/>
      <c r="L31" s="2131"/>
      <c r="M31" s="2131"/>
      <c r="N31" s="2131"/>
      <c r="O31" s="2131"/>
    </row>
    <row r="32" spans="1:15" ht="15" customHeight="1">
      <c r="A32" s="2116" t="s">
        <v>46</v>
      </c>
      <c r="B32" s="2113"/>
      <c r="C32" s="2122"/>
      <c r="D32" s="2122"/>
      <c r="E32" s="2121"/>
      <c r="F32" s="2122"/>
      <c r="G32" s="2102"/>
      <c r="H32" s="2102"/>
      <c r="I32" s="2102"/>
      <c r="J32" s="2102"/>
      <c r="K32" s="2131"/>
      <c r="L32" s="2131"/>
      <c r="M32" s="2131"/>
      <c r="N32" s="2131"/>
      <c r="O32" s="2131"/>
    </row>
    <row r="33" spans="1:15" ht="15" customHeight="1">
      <c r="A33" s="2116" t="s">
        <v>968</v>
      </c>
      <c r="B33" s="2113"/>
      <c r="C33" s="2122"/>
      <c r="D33" s="2122"/>
      <c r="E33" s="2121"/>
      <c r="F33" s="2122"/>
      <c r="G33" s="2102"/>
      <c r="H33" s="2102"/>
      <c r="I33" s="2102"/>
      <c r="J33" s="2102"/>
      <c r="K33" s="2131"/>
      <c r="L33" s="2131"/>
      <c r="M33" s="2131"/>
      <c r="N33" s="2131"/>
      <c r="O33" s="2131"/>
    </row>
    <row r="34" spans="1:15" ht="15" customHeight="1">
      <c r="A34" s="2113" t="s">
        <v>591</v>
      </c>
      <c r="B34" s="2113"/>
      <c r="C34" s="2087">
        <v>0</v>
      </c>
      <c r="D34" s="2087"/>
      <c r="E34" s="2121"/>
      <c r="F34" s="2122">
        <f>SUM(C34:D34)</f>
        <v>0</v>
      </c>
      <c r="G34" s="2102"/>
      <c r="H34" s="2102"/>
      <c r="I34" s="2102"/>
      <c r="J34" s="2102"/>
      <c r="K34" s="2131"/>
      <c r="L34" s="2131"/>
      <c r="M34" s="2131"/>
      <c r="N34" s="2131"/>
      <c r="O34" s="2131"/>
    </row>
    <row r="35" spans="1:15" ht="15" customHeight="1">
      <c r="A35" s="2129" t="s">
        <v>592</v>
      </c>
      <c r="B35" s="2113"/>
      <c r="C35" s="2087">
        <v>4212128.05</v>
      </c>
      <c r="D35" s="2087"/>
      <c r="E35" s="2121"/>
      <c r="F35" s="2122">
        <f>SUM(C35:D35)</f>
        <v>4212128.05</v>
      </c>
      <c r="G35" s="2102"/>
      <c r="H35" s="2102"/>
      <c r="I35" s="2102"/>
      <c r="J35" s="2102"/>
      <c r="K35" s="2131"/>
      <c r="L35" s="2131"/>
      <c r="M35" s="2131"/>
      <c r="N35" s="2131"/>
      <c r="O35" s="2131"/>
    </row>
    <row r="36" spans="1:15" ht="15" customHeight="1">
      <c r="A36" s="2116" t="s">
        <v>593</v>
      </c>
      <c r="B36" s="2113"/>
      <c r="C36" s="2122"/>
      <c r="D36" s="2122"/>
      <c r="E36" s="2121"/>
      <c r="F36" s="2122"/>
      <c r="G36" s="2102"/>
      <c r="H36" s="2102"/>
      <c r="I36" s="2102"/>
      <c r="J36" s="2102"/>
      <c r="K36" s="2131"/>
      <c r="L36" s="2131"/>
      <c r="M36" s="2131"/>
      <c r="N36" s="2131"/>
      <c r="O36" s="2131"/>
    </row>
    <row r="37" spans="1:15" ht="15" customHeight="1">
      <c r="A37" s="2079" t="s">
        <v>594</v>
      </c>
      <c r="B37" s="2113"/>
      <c r="C37" s="2132">
        <v>0</v>
      </c>
      <c r="D37" s="2132"/>
      <c r="E37" s="2121"/>
      <c r="F37" s="2122">
        <f>SUM(C37:D37)</f>
        <v>0</v>
      </c>
      <c r="G37" s="2102"/>
      <c r="H37" s="2102"/>
      <c r="I37" s="2102"/>
      <c r="J37" s="2102"/>
      <c r="K37" s="2131"/>
      <c r="L37" s="2131"/>
      <c r="M37" s="2131"/>
      <c r="N37" s="2131"/>
      <c r="O37" s="2131"/>
    </row>
    <row r="38" spans="1:15" s="2112" customFormat="1" ht="15.75">
      <c r="A38" s="2116" t="s">
        <v>595</v>
      </c>
      <c r="B38" s="2116"/>
      <c r="C38" s="3140">
        <f>ROUND(SUM(C34:C37),2)</f>
        <v>4212128.05</v>
      </c>
      <c r="D38" s="2126"/>
      <c r="E38" s="2125"/>
      <c r="F38" s="3140">
        <f>ROUND(SUM(F34:F37),2)</f>
        <v>4212128.05</v>
      </c>
      <c r="G38" s="2127"/>
      <c r="H38" s="2127"/>
      <c r="I38" s="2127"/>
      <c r="J38" s="2127"/>
      <c r="K38" s="2133"/>
      <c r="L38" s="2133"/>
      <c r="M38" s="2133"/>
      <c r="N38" s="2133"/>
      <c r="O38" s="2133"/>
    </row>
    <row r="39" spans="1:15" ht="15" customHeight="1">
      <c r="A39" s="2113"/>
      <c r="B39" s="2113"/>
      <c r="C39" s="2120"/>
      <c r="D39" s="2120"/>
      <c r="E39" s="2121"/>
      <c r="F39" s="2122"/>
      <c r="G39" s="2102"/>
      <c r="H39" s="2102"/>
      <c r="I39" s="2102"/>
      <c r="J39" s="2102"/>
      <c r="K39" s="2131"/>
      <c r="L39" s="2131"/>
      <c r="M39" s="2131"/>
      <c r="N39" s="2131"/>
      <c r="O39" s="2131"/>
    </row>
    <row r="40" spans="1:15" ht="15" customHeight="1">
      <c r="A40" s="2116" t="s">
        <v>1027</v>
      </c>
      <c r="B40" s="2113"/>
      <c r="C40" s="2120"/>
      <c r="D40" s="2120"/>
      <c r="E40" s="2121"/>
      <c r="F40" s="2122"/>
      <c r="G40" s="2102"/>
      <c r="H40" s="2102"/>
      <c r="I40" s="2102"/>
      <c r="J40" s="2102"/>
      <c r="K40" s="2131"/>
      <c r="L40" s="2131"/>
      <c r="M40" s="2131"/>
      <c r="N40" s="2131"/>
      <c r="O40" s="2131"/>
    </row>
    <row r="41" spans="1:15" ht="15" customHeight="1">
      <c r="A41" s="2113" t="s">
        <v>591</v>
      </c>
      <c r="B41" s="2113"/>
      <c r="C41" s="2080">
        <v>0</v>
      </c>
      <c r="D41" s="2080"/>
      <c r="E41" s="2121"/>
      <c r="F41" s="2122">
        <f>SUM(C41:D41)</f>
        <v>0</v>
      </c>
      <c r="G41" s="2102"/>
      <c r="H41" s="2102"/>
      <c r="I41" s="2102"/>
      <c r="J41" s="2102"/>
      <c r="K41" s="2131"/>
      <c r="L41" s="2131"/>
      <c r="M41" s="2131"/>
      <c r="N41" s="2131"/>
      <c r="O41" s="2131"/>
    </row>
    <row r="42" spans="1:15" ht="15" customHeight="1">
      <c r="A42" s="2113" t="s">
        <v>596</v>
      </c>
      <c r="B42" s="2113"/>
      <c r="C42" s="2120">
        <v>0</v>
      </c>
      <c r="D42" s="2120"/>
      <c r="E42" s="2121"/>
      <c r="F42" s="2122">
        <f>SUM(C42:D42)</f>
        <v>0</v>
      </c>
      <c r="G42" s="2102"/>
      <c r="H42" s="2102"/>
      <c r="I42" s="2102"/>
      <c r="J42" s="2102"/>
      <c r="K42" s="2131"/>
      <c r="L42" s="2131"/>
      <c r="M42" s="2131"/>
      <c r="N42" s="2131"/>
      <c r="O42" s="2131"/>
    </row>
    <row r="43" spans="1:15" ht="15" customHeight="1">
      <c r="A43" s="2116" t="s">
        <v>1028</v>
      </c>
      <c r="B43" s="2113"/>
      <c r="C43" s="2120"/>
      <c r="D43" s="2120"/>
      <c r="E43" s="2121"/>
      <c r="F43" s="2122"/>
      <c r="G43" s="2102"/>
      <c r="H43" s="2102"/>
      <c r="I43" s="2102"/>
      <c r="J43" s="2102"/>
      <c r="K43" s="2131"/>
      <c r="L43" s="2131"/>
      <c r="M43" s="2131"/>
      <c r="N43" s="2131"/>
      <c r="O43" s="2131"/>
    </row>
    <row r="44" spans="1:15" ht="15" customHeight="1">
      <c r="A44" s="2129" t="s">
        <v>594</v>
      </c>
      <c r="B44" s="2113"/>
      <c r="C44" s="2087">
        <v>-385243426.04000002</v>
      </c>
      <c r="D44" s="2087"/>
      <c r="E44" s="2121"/>
      <c r="F44" s="2122">
        <f>SUM(C44:D44)</f>
        <v>-385243426.04000002</v>
      </c>
      <c r="G44" s="2102"/>
      <c r="H44" s="2102"/>
      <c r="I44" s="2102"/>
      <c r="J44" s="2102"/>
      <c r="K44" s="2131"/>
      <c r="L44" s="2131"/>
      <c r="M44" s="2131"/>
      <c r="N44" s="2131"/>
      <c r="O44" s="2131"/>
    </row>
    <row r="45" spans="1:15" ht="15" customHeight="1">
      <c r="A45" s="2113" t="s">
        <v>1438</v>
      </c>
      <c r="B45" s="2113"/>
      <c r="C45" s="2087">
        <v>-70691867.659999996</v>
      </c>
      <c r="D45" s="2087"/>
      <c r="E45" s="2121"/>
      <c r="F45" s="2122">
        <f>SUM(C45:D45)</f>
        <v>-70691867.659999996</v>
      </c>
      <c r="G45" s="2102"/>
      <c r="H45" s="2102"/>
      <c r="I45" s="2102"/>
      <c r="J45" s="2102"/>
      <c r="K45" s="2131"/>
      <c r="L45" s="2131"/>
      <c r="M45" s="2131"/>
      <c r="N45" s="2131"/>
      <c r="O45" s="2131"/>
    </row>
    <row r="46" spans="1:15" ht="15" customHeight="1">
      <c r="A46" s="2113" t="s">
        <v>1439</v>
      </c>
      <c r="B46" s="2113"/>
      <c r="C46" s="3272">
        <v>8169220.7199999997</v>
      </c>
      <c r="D46" s="2122"/>
      <c r="E46" s="2121"/>
      <c r="F46" s="2122">
        <f>SUM(C46:D46)</f>
        <v>8169220.7199999997</v>
      </c>
      <c r="G46" s="2102"/>
      <c r="H46" s="2102"/>
      <c r="I46" s="2102"/>
      <c r="J46" s="2102"/>
      <c r="K46" s="2131"/>
      <c r="L46" s="2131"/>
      <c r="M46" s="2131"/>
      <c r="N46" s="2131"/>
      <c r="O46" s="2131"/>
    </row>
    <row r="47" spans="1:15" ht="15.75">
      <c r="A47" s="2116" t="s">
        <v>597</v>
      </c>
      <c r="B47" s="2116"/>
      <c r="C47" s="3140">
        <f>ROUND(SUM(C41:C46),2)</f>
        <v>-447766072.98000002</v>
      </c>
      <c r="D47" s="2126"/>
      <c r="E47" s="2125"/>
      <c r="F47" s="3140">
        <f>ROUND(SUM(F41:F46),2)</f>
        <v>-447766072.98000002</v>
      </c>
      <c r="G47" s="2102"/>
      <c r="H47" s="2102"/>
      <c r="I47" s="2102"/>
      <c r="J47" s="2102"/>
      <c r="K47" s="2131"/>
      <c r="L47" s="2131"/>
      <c r="M47" s="2131"/>
      <c r="N47" s="2131"/>
      <c r="O47" s="2131"/>
    </row>
    <row r="48" spans="1:15" ht="15" customHeight="1">
      <c r="A48" s="2113"/>
      <c r="B48" s="2113"/>
      <c r="C48" s="2120"/>
      <c r="D48" s="2120"/>
      <c r="E48" s="2121"/>
      <c r="F48" s="2122"/>
      <c r="G48" s="2102"/>
      <c r="H48" s="2102"/>
      <c r="I48" s="2102"/>
      <c r="J48" s="2102"/>
      <c r="K48" s="2131"/>
      <c r="L48" s="2131"/>
      <c r="M48" s="2131"/>
      <c r="N48" s="2131"/>
      <c r="O48" s="2131"/>
    </row>
    <row r="49" spans="1:15" ht="15" customHeight="1">
      <c r="A49" s="2116" t="s">
        <v>598</v>
      </c>
      <c r="B49" s="2113"/>
      <c r="C49" s="2120"/>
      <c r="D49" s="2120"/>
      <c r="E49" s="2121"/>
      <c r="F49" s="2122"/>
      <c r="G49" s="2102"/>
      <c r="H49" s="2102"/>
      <c r="I49" s="2102"/>
      <c r="J49" s="2102"/>
      <c r="K49" s="2131"/>
      <c r="L49" s="2131"/>
      <c r="M49" s="2131"/>
      <c r="N49" s="2131"/>
      <c r="O49" s="2131"/>
    </row>
    <row r="50" spans="1:15" ht="15" customHeight="1">
      <c r="A50" s="2116" t="s">
        <v>599</v>
      </c>
      <c r="B50" s="2113"/>
      <c r="C50" s="3271">
        <f>ROUND(+C30+C38+C47,2)</f>
        <v>-55031197.409999996</v>
      </c>
      <c r="D50" s="2126"/>
      <c r="E50" s="2130"/>
      <c r="F50" s="3271">
        <f>ROUND(+F30+F38+F47,2)</f>
        <v>-55031197.409999996</v>
      </c>
      <c r="G50" s="2102"/>
      <c r="H50" s="2102"/>
      <c r="I50" s="2102"/>
      <c r="J50" s="2102"/>
      <c r="K50" s="2131"/>
      <c r="L50" s="2131"/>
      <c r="M50" s="2131"/>
      <c r="N50" s="2131"/>
      <c r="O50" s="2131"/>
    </row>
    <row r="51" spans="1:15" ht="15" customHeight="1">
      <c r="A51" s="2113"/>
      <c r="B51" s="2113"/>
      <c r="C51" s="2115"/>
      <c r="D51" s="2115"/>
      <c r="E51" s="2134"/>
      <c r="F51" s="2122"/>
      <c r="G51" s="2102"/>
      <c r="H51" s="2102"/>
      <c r="I51" s="2102"/>
      <c r="J51" s="2102"/>
      <c r="K51" s="2131"/>
      <c r="L51" s="2131"/>
      <c r="M51" s="2131"/>
      <c r="N51" s="2131"/>
      <c r="O51" s="2131"/>
    </row>
    <row r="52" spans="1:15" s="2112" customFormat="1" ht="21" customHeight="1" thickBot="1">
      <c r="A52" s="2116" t="s">
        <v>600</v>
      </c>
      <c r="B52" s="2116"/>
      <c r="C52" s="2210">
        <f>ROUND(C12+C50,2)</f>
        <v>333470624.5</v>
      </c>
      <c r="D52" s="2210"/>
      <c r="E52" s="2135"/>
      <c r="F52" s="2210">
        <f>ROUND(F12+F50,2)</f>
        <v>333470624.5</v>
      </c>
      <c r="G52" s="2099"/>
      <c r="H52" s="2099"/>
      <c r="I52" s="2099"/>
      <c r="J52" s="2099"/>
    </row>
    <row r="53" spans="1:15" ht="15" customHeight="1" thickTop="1">
      <c r="A53" s="2113" t="s">
        <v>15</v>
      </c>
      <c r="B53" s="2113"/>
      <c r="C53" s="2136"/>
      <c r="D53" s="2105"/>
      <c r="E53" s="2105"/>
      <c r="F53" s="2136"/>
    </row>
    <row r="54" spans="1:15" ht="15" customHeight="1">
      <c r="A54" s="2096" t="s">
        <v>601</v>
      </c>
    </row>
    <row r="55" spans="1:15" ht="15" customHeight="1">
      <c r="A55" s="2137"/>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printOptions horizontalCentered="1" verticalCentered="1"/>
  <pageMargins left="0.24" right="0.24" top="0.5" bottom="0.5" header="0.18" footer="0.25"/>
  <pageSetup scale="60" firstPageNumber="50" orientation="landscape" useFirstPageNumber="1" r:id="rId2"/>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89"/>
  <sheetViews>
    <sheetView showGridLines="0" topLeftCell="A19" zoomScale="90" zoomScaleNormal="90" workbookViewId="0">
      <selection activeCell="J40" sqref="J40"/>
    </sheetView>
  </sheetViews>
  <sheetFormatPr defaultColWidth="8.88671875" defaultRowHeight="15.75"/>
  <cols>
    <col min="1" max="1" width="3.5546875" style="2396" customWidth="1"/>
    <col min="2" max="2" width="8.44140625" style="2397" customWidth="1"/>
    <col min="3" max="3" width="12.21875" style="2397" customWidth="1"/>
    <col min="4" max="4" width="15" style="2398" customWidth="1"/>
    <col min="5" max="5" width="15.21875" style="2395" customWidth="1"/>
    <col min="6" max="6" width="10.44140625" style="2396" customWidth="1"/>
    <col min="7" max="7" width="10.21875" style="2396" customWidth="1"/>
    <col min="8" max="8" width="9.109375" style="2584" customWidth="1"/>
    <col min="9" max="9" width="5.5546875" style="2394" customWidth="1"/>
    <col min="10" max="10" width="9.33203125" style="2394" customWidth="1"/>
    <col min="11" max="11" width="8.33203125" style="2395" customWidth="1"/>
    <col min="12" max="12" width="16" style="2395" customWidth="1"/>
    <col min="13" max="13" width="12.21875" style="2395" customWidth="1"/>
    <col min="14" max="14" width="5.44140625" style="2395" customWidth="1"/>
    <col min="15" max="15" width="12.44140625" style="2586" customWidth="1"/>
    <col min="16" max="16" width="4.77734375" style="2586" customWidth="1"/>
    <col min="17" max="17" width="8" style="2586" customWidth="1"/>
    <col min="18" max="18" width="3.6640625" style="2586" customWidth="1"/>
    <col min="19" max="19" width="13.21875" style="2586" customWidth="1"/>
    <col min="20" max="20" width="12.109375" style="2586" customWidth="1"/>
    <col min="21" max="21" width="12.21875" style="2586" customWidth="1"/>
    <col min="22" max="16384" width="8.88671875" style="2586"/>
  </cols>
  <sheetData>
    <row r="1" spans="1:20">
      <c r="A1" s="1052" t="s">
        <v>1064</v>
      </c>
    </row>
    <row r="2" spans="1:20">
      <c r="A2" s="920" t="s">
        <v>859</v>
      </c>
      <c r="B2" s="921"/>
      <c r="C2" s="922"/>
      <c r="D2" s="923"/>
      <c r="E2" s="2584"/>
      <c r="F2" s="2584"/>
      <c r="G2" s="2584"/>
      <c r="I2" s="924"/>
      <c r="J2" s="924"/>
      <c r="K2" s="2584"/>
      <c r="L2" s="2584"/>
      <c r="M2" s="2584"/>
      <c r="N2" s="925"/>
      <c r="O2" s="1533" t="s">
        <v>1059</v>
      </c>
      <c r="Q2" s="927"/>
      <c r="R2" s="927"/>
      <c r="S2" s="928"/>
      <c r="T2" s="929"/>
    </row>
    <row r="3" spans="1:20" ht="12.75" customHeight="1">
      <c r="A3" s="921"/>
      <c r="B3" s="921"/>
      <c r="C3" s="922"/>
      <c r="D3" s="923"/>
      <c r="E3" s="2584"/>
      <c r="F3" s="2584"/>
      <c r="G3" s="2584"/>
      <c r="I3" s="2397"/>
      <c r="J3" s="2397"/>
      <c r="K3" s="2398"/>
      <c r="M3" s="2396"/>
      <c r="N3" s="2396"/>
      <c r="O3" s="1534" t="s">
        <v>1483</v>
      </c>
      <c r="T3" s="929"/>
    </row>
    <row r="4" spans="1:20" ht="9" customHeight="1">
      <c r="B4" s="2688"/>
      <c r="C4" s="2688"/>
      <c r="D4" s="2683"/>
      <c r="E4" s="2684"/>
      <c r="F4" s="2685"/>
      <c r="G4" s="2685"/>
      <c r="H4" s="937"/>
      <c r="I4" s="1128"/>
      <c r="J4" s="1128"/>
      <c r="K4" s="2684"/>
      <c r="L4" s="2684"/>
      <c r="M4" s="2684"/>
      <c r="N4" s="2684"/>
      <c r="O4" s="2690"/>
      <c r="P4" s="2690"/>
      <c r="T4" s="929"/>
    </row>
    <row r="5" spans="1:20" ht="13.5" customHeight="1">
      <c r="T5" s="929"/>
    </row>
    <row r="6" spans="1:20" ht="13.5" customHeight="1">
      <c r="A6" s="930" t="s">
        <v>860</v>
      </c>
      <c r="B6" s="2585" t="s">
        <v>861</v>
      </c>
      <c r="C6" s="2585"/>
      <c r="D6" s="2585"/>
      <c r="E6" s="937"/>
      <c r="F6" s="937"/>
      <c r="G6" s="937"/>
      <c r="I6" s="2736" t="s">
        <v>1293</v>
      </c>
      <c r="J6" s="2736"/>
      <c r="K6" s="937"/>
      <c r="L6" s="937"/>
      <c r="M6" s="937"/>
      <c r="N6" s="937"/>
      <c r="O6" s="2690"/>
    </row>
    <row r="7" spans="1:20" ht="13.5" customHeight="1">
      <c r="A7" s="930"/>
      <c r="B7" s="2585" t="s">
        <v>862</v>
      </c>
      <c r="C7" s="2585"/>
      <c r="D7" s="2585"/>
      <c r="E7" s="937"/>
      <c r="F7" s="937"/>
      <c r="G7" s="937"/>
      <c r="I7" s="1128"/>
      <c r="J7" s="1128"/>
      <c r="K7" s="2684"/>
      <c r="L7" s="2684"/>
      <c r="M7" s="2684"/>
      <c r="N7" s="2684"/>
      <c r="O7" s="2690"/>
    </row>
    <row r="8" spans="1:20" ht="12.95" customHeight="1">
      <c r="A8" s="930"/>
      <c r="B8" s="2585" t="s">
        <v>863</v>
      </c>
      <c r="C8" s="2585"/>
      <c r="D8" s="2585"/>
      <c r="E8" s="937"/>
      <c r="F8" s="937"/>
      <c r="G8" s="937"/>
      <c r="I8" s="2691"/>
      <c r="J8" s="2691" t="s">
        <v>872</v>
      </c>
      <c r="K8" s="2686"/>
      <c r="L8" s="937"/>
      <c r="O8" s="2737">
        <v>2927.8</v>
      </c>
      <c r="P8" s="937" t="s">
        <v>865</v>
      </c>
    </row>
    <row r="9" spans="1:20" ht="12.75" customHeight="1">
      <c r="A9" s="930"/>
      <c r="B9" s="2585" t="s">
        <v>864</v>
      </c>
      <c r="C9" s="2585"/>
      <c r="D9" s="2585"/>
      <c r="E9" s="937"/>
      <c r="F9" s="937"/>
      <c r="G9" s="937"/>
      <c r="I9" s="2691"/>
      <c r="J9" s="2691" t="s">
        <v>873</v>
      </c>
      <c r="K9" s="2686"/>
      <c r="L9" s="937"/>
      <c r="O9" s="2687">
        <v>249.2</v>
      </c>
      <c r="P9" s="2690"/>
    </row>
    <row r="10" spans="1:20" ht="12.75" customHeight="1">
      <c r="B10" s="2688"/>
      <c r="C10" s="2688"/>
      <c r="D10" s="2683"/>
      <c r="E10" s="2684"/>
      <c r="F10" s="2692"/>
      <c r="G10" s="2685"/>
      <c r="I10" s="2691"/>
      <c r="J10" s="2691" t="s">
        <v>874</v>
      </c>
      <c r="K10" s="2686"/>
      <c r="L10" s="937"/>
      <c r="O10" s="2687">
        <v>186.8</v>
      </c>
      <c r="P10" s="2690"/>
    </row>
    <row r="11" spans="1:20" ht="12.75" customHeight="1">
      <c r="A11" s="2584"/>
      <c r="B11" s="2585"/>
      <c r="C11" s="2691" t="s">
        <v>919</v>
      </c>
      <c r="D11" s="2686"/>
      <c r="E11" s="937"/>
      <c r="F11" s="2686">
        <v>194.9</v>
      </c>
      <c r="G11" s="937" t="s">
        <v>865</v>
      </c>
      <c r="I11" s="1128"/>
      <c r="J11" s="2691" t="s">
        <v>875</v>
      </c>
      <c r="K11" s="2686"/>
      <c r="L11" s="937"/>
      <c r="O11" s="2687">
        <v>73.8</v>
      </c>
      <c r="P11" s="2690"/>
    </row>
    <row r="12" spans="1:20" ht="12.75" customHeight="1">
      <c r="A12" s="2584"/>
      <c r="B12" s="2691"/>
      <c r="C12" s="2691" t="s">
        <v>1099</v>
      </c>
      <c r="D12" s="2693"/>
      <c r="E12" s="937"/>
      <c r="F12" s="2738">
        <v>28.7</v>
      </c>
      <c r="G12" s="937"/>
      <c r="J12" s="924" t="s">
        <v>1518</v>
      </c>
      <c r="K12" s="3573"/>
      <c r="L12" s="2584"/>
      <c r="O12" s="3458">
        <v>80.099999999999994</v>
      </c>
    </row>
    <row r="13" spans="1:20" ht="12.75" customHeight="1">
      <c r="A13" s="2584"/>
      <c r="B13" s="2691"/>
      <c r="C13" s="2691" t="s">
        <v>866</v>
      </c>
      <c r="D13" s="2693"/>
      <c r="E13" s="937"/>
      <c r="F13" s="2739">
        <v>286.60000000000002</v>
      </c>
      <c r="G13" s="937"/>
      <c r="I13" s="1128"/>
      <c r="J13" s="2691"/>
      <c r="K13" s="2684"/>
      <c r="L13" s="2684"/>
      <c r="M13" s="2684"/>
      <c r="N13" s="2684"/>
      <c r="O13" s="2690"/>
      <c r="T13" s="2584"/>
    </row>
    <row r="14" spans="1:20" ht="12.75" customHeight="1">
      <c r="A14" s="2584"/>
      <c r="B14" s="2691"/>
      <c r="C14" s="2691" t="s">
        <v>867</v>
      </c>
      <c r="D14" s="2693"/>
      <c r="E14" s="937"/>
      <c r="F14" s="2739">
        <v>13.1</v>
      </c>
      <c r="G14" s="2685"/>
      <c r="I14" s="937" t="s">
        <v>1094</v>
      </c>
      <c r="J14" s="2691"/>
      <c r="K14" s="937"/>
      <c r="L14" s="937"/>
      <c r="M14" s="937"/>
      <c r="N14" s="937"/>
      <c r="O14" s="2687"/>
      <c r="T14" s="931"/>
    </row>
    <row r="15" spans="1:20" ht="12.75" customHeight="1">
      <c r="A15" s="2584"/>
      <c r="B15" s="2691"/>
      <c r="C15" s="2691" t="s">
        <v>1100</v>
      </c>
      <c r="D15" s="2693"/>
      <c r="E15" s="937"/>
      <c r="F15" s="2739">
        <v>615.1</v>
      </c>
      <c r="G15" s="937"/>
      <c r="I15" s="937" t="s">
        <v>1095</v>
      </c>
      <c r="J15" s="2691"/>
      <c r="K15" s="937"/>
      <c r="L15" s="937"/>
      <c r="M15" s="937"/>
      <c r="N15" s="937"/>
      <c r="O15" s="2687"/>
      <c r="T15" s="931"/>
    </row>
    <row r="16" spans="1:20" ht="12.75" customHeight="1">
      <c r="A16" s="2584"/>
      <c r="B16" s="2691"/>
      <c r="C16" s="2691" t="s">
        <v>920</v>
      </c>
      <c r="D16" s="2693"/>
      <c r="E16" s="937"/>
      <c r="F16" s="2738">
        <v>692.7</v>
      </c>
      <c r="G16" s="937"/>
      <c r="H16" s="2396"/>
      <c r="I16" s="937" t="s">
        <v>1517</v>
      </c>
      <c r="J16" s="2691"/>
      <c r="K16" s="937"/>
      <c r="L16" s="937"/>
      <c r="M16" s="937"/>
      <c r="N16" s="937"/>
      <c r="O16" s="2687"/>
      <c r="R16" s="2584"/>
    </row>
    <row r="17" spans="1:16" ht="12.75" customHeight="1">
      <c r="A17" s="2584"/>
      <c r="B17" s="2691"/>
      <c r="C17" s="2691" t="s">
        <v>868</v>
      </c>
      <c r="D17" s="2694"/>
      <c r="E17" s="937"/>
      <c r="F17" s="2738">
        <v>631.70000000000005</v>
      </c>
      <c r="G17" s="937"/>
    </row>
    <row r="18" spans="1:16" ht="12.75" customHeight="1">
      <c r="A18" s="2584"/>
      <c r="B18" s="2691"/>
      <c r="C18" s="2691" t="s">
        <v>1388</v>
      </c>
      <c r="D18" s="2694"/>
      <c r="E18" s="937"/>
      <c r="F18" s="2739">
        <v>29.1</v>
      </c>
      <c r="G18" s="937"/>
      <c r="I18" s="1128"/>
      <c r="J18" s="1128"/>
      <c r="K18" s="2684"/>
      <c r="L18" s="2684"/>
      <c r="M18" s="2684"/>
      <c r="N18" s="2684"/>
      <c r="O18" s="2690"/>
    </row>
    <row r="19" spans="1:16" ht="12.75" customHeight="1">
      <c r="A19" s="2685"/>
      <c r="B19" s="2688"/>
      <c r="C19" s="2688"/>
      <c r="D19" s="2683"/>
      <c r="E19" s="2684"/>
      <c r="F19" s="2685"/>
      <c r="G19" s="2685"/>
      <c r="I19" s="2736" t="s">
        <v>1519</v>
      </c>
      <c r="J19" s="2691"/>
      <c r="K19" s="937"/>
      <c r="L19" s="937"/>
      <c r="M19" s="937"/>
      <c r="N19" s="937"/>
      <c r="O19" s="2695"/>
    </row>
    <row r="20" spans="1:16" ht="12.95" customHeight="1">
      <c r="A20" s="2685"/>
      <c r="B20" s="2688"/>
      <c r="C20" s="2688"/>
      <c r="D20" s="2683"/>
      <c r="E20" s="2684"/>
      <c r="F20" s="2685"/>
      <c r="G20" s="2685"/>
      <c r="I20" s="2585" t="s">
        <v>1529</v>
      </c>
      <c r="J20" s="2691"/>
      <c r="K20" s="937"/>
      <c r="L20" s="937"/>
      <c r="M20" s="937"/>
      <c r="N20" s="937"/>
      <c r="O20" s="2695"/>
    </row>
    <row r="21" spans="1:16" ht="12.75" customHeight="1">
      <c r="I21" s="3456" t="s">
        <v>15</v>
      </c>
    </row>
    <row r="22" spans="1:16" ht="13.7" customHeight="1">
      <c r="A22" s="2702" t="s">
        <v>869</v>
      </c>
      <c r="B22" s="2585" t="s">
        <v>1078</v>
      </c>
      <c r="C22" s="2585"/>
      <c r="D22" s="2585"/>
      <c r="E22" s="937"/>
      <c r="F22" s="937"/>
      <c r="G22" s="937"/>
      <c r="H22" s="2396"/>
    </row>
    <row r="23" spans="1:16" ht="12.75" customHeight="1">
      <c r="A23" s="2702"/>
      <c r="B23" s="2585" t="s">
        <v>870</v>
      </c>
      <c r="C23" s="2585"/>
      <c r="D23" s="2585"/>
      <c r="E23" s="937"/>
      <c r="F23" s="937"/>
      <c r="G23" s="937"/>
      <c r="H23" s="2696" t="s">
        <v>879</v>
      </c>
      <c r="I23" s="937" t="s">
        <v>921</v>
      </c>
      <c r="J23" s="1128"/>
      <c r="K23" s="2688"/>
      <c r="L23" s="2683"/>
      <c r="M23" s="2684"/>
      <c r="N23" s="2685"/>
      <c r="O23" s="2685"/>
    </row>
    <row r="24" spans="1:16" ht="12.75" customHeight="1">
      <c r="A24" s="2702"/>
      <c r="B24" s="2585"/>
      <c r="C24" s="2585"/>
      <c r="D24" s="2585"/>
      <c r="E24" s="937"/>
      <c r="F24" s="937"/>
      <c r="G24" s="937"/>
      <c r="H24" s="937"/>
      <c r="I24" s="937" t="s">
        <v>1101</v>
      </c>
      <c r="J24" s="1128"/>
      <c r="K24" s="2688"/>
      <c r="L24" s="2683"/>
      <c r="M24" s="2684"/>
      <c r="N24" s="2685"/>
      <c r="O24" s="2685"/>
    </row>
    <row r="25" spans="1:16" ht="13.35" customHeight="1">
      <c r="A25" s="937"/>
      <c r="B25" s="2697" t="s">
        <v>1409</v>
      </c>
      <c r="C25" s="2697"/>
      <c r="D25" s="2585"/>
      <c r="E25" s="937"/>
      <c r="F25" s="937"/>
      <c r="G25" s="937"/>
      <c r="H25" s="937"/>
      <c r="I25" s="937" t="s">
        <v>1105</v>
      </c>
      <c r="J25" s="2690"/>
      <c r="K25" s="2688"/>
      <c r="L25" s="2683"/>
      <c r="M25" s="2684"/>
      <c r="N25" s="2685"/>
      <c r="O25" s="2685"/>
    </row>
    <row r="26" spans="1:16" ht="12.75" customHeight="1">
      <c r="A26" s="2685"/>
      <c r="B26" s="2688"/>
      <c r="C26" s="2688"/>
      <c r="D26" s="2683"/>
      <c r="E26" s="2684"/>
      <c r="F26" s="2685"/>
      <c r="G26" s="937"/>
      <c r="H26" s="937"/>
      <c r="I26" s="937" t="s">
        <v>1097</v>
      </c>
      <c r="J26" s="1128"/>
      <c r="K26" s="2688"/>
      <c r="L26" s="2683"/>
      <c r="M26" s="2684"/>
      <c r="N26" s="2685"/>
      <c r="O26" s="2685"/>
      <c r="P26" s="2689"/>
    </row>
    <row r="27" spans="1:16" ht="12.75" customHeight="1">
      <c r="A27" s="2685"/>
      <c r="B27" s="2688"/>
      <c r="C27" s="2691" t="s">
        <v>1355</v>
      </c>
      <c r="D27" s="2683"/>
      <c r="E27" s="2684"/>
      <c r="F27" s="2737">
        <v>-45.6</v>
      </c>
      <c r="G27" s="937" t="s">
        <v>865</v>
      </c>
      <c r="H27" s="937"/>
      <c r="I27" s="937" t="s">
        <v>15</v>
      </c>
      <c r="J27" s="1128"/>
      <c r="K27" s="2688"/>
      <c r="L27" s="2683"/>
      <c r="M27" s="2684"/>
      <c r="N27" s="2685"/>
      <c r="O27" s="2685"/>
      <c r="P27" s="2690"/>
    </row>
    <row r="28" spans="1:16" ht="12.75" customHeight="1">
      <c r="A28" s="2685"/>
      <c r="B28" s="2688"/>
      <c r="C28" s="2691" t="s">
        <v>871</v>
      </c>
      <c r="D28" s="2686"/>
      <c r="E28" s="937"/>
      <c r="F28" s="2687">
        <v>192.3</v>
      </c>
      <c r="G28" s="2690"/>
      <c r="H28" s="937"/>
      <c r="I28" s="937" t="s">
        <v>1330</v>
      </c>
      <c r="J28" s="1128"/>
      <c r="K28" s="2688"/>
      <c r="L28" s="2683"/>
      <c r="M28" s="2684"/>
      <c r="N28" s="2685"/>
      <c r="O28" s="2685"/>
    </row>
    <row r="29" spans="1:16" ht="12.95" customHeight="1">
      <c r="A29" s="2685"/>
      <c r="B29" s="2688"/>
      <c r="C29" s="2691" t="s">
        <v>1332</v>
      </c>
      <c r="D29" s="2686"/>
      <c r="E29" s="937"/>
      <c r="F29" s="2687">
        <v>2.5</v>
      </c>
      <c r="G29" s="937"/>
      <c r="H29" s="937"/>
      <c r="I29" s="937" t="s">
        <v>1331</v>
      </c>
      <c r="J29" s="1128"/>
      <c r="K29" s="2688"/>
      <c r="L29" s="2683"/>
      <c r="M29" s="2684"/>
      <c r="N29" s="2685"/>
      <c r="O29" s="2685"/>
    </row>
    <row r="30" spans="1:16" ht="12.75" customHeight="1">
      <c r="B30" s="2397" t="s">
        <v>15</v>
      </c>
      <c r="C30" s="2691" t="s">
        <v>876</v>
      </c>
      <c r="D30" s="2686"/>
      <c r="E30" s="937"/>
      <c r="F30" s="2687">
        <v>62</v>
      </c>
      <c r="H30" s="937"/>
      <c r="I30" s="937" t="s">
        <v>1096</v>
      </c>
      <c r="J30" s="1128"/>
      <c r="K30" s="2688"/>
      <c r="L30" s="2683"/>
      <c r="M30" s="2684"/>
      <c r="N30" s="2685"/>
      <c r="O30" s="2685"/>
    </row>
    <row r="31" spans="1:16" ht="12.75" customHeight="1">
      <c r="A31" s="937"/>
      <c r="B31" s="2691"/>
      <c r="C31" s="2691" t="s">
        <v>1391</v>
      </c>
      <c r="D31" s="2686"/>
      <c r="E31" s="937"/>
      <c r="F31" s="2687">
        <v>100</v>
      </c>
      <c r="G31" s="2685"/>
      <c r="H31" s="937"/>
      <c r="I31" s="2685"/>
      <c r="J31" s="2688"/>
      <c r="K31" s="2688"/>
      <c r="L31" s="2683"/>
      <c r="M31" s="2684"/>
      <c r="N31" s="2685"/>
      <c r="O31" s="2685"/>
    </row>
    <row r="32" spans="1:16" ht="12.75" customHeight="1">
      <c r="A32" s="2685"/>
      <c r="B32" s="2688"/>
      <c r="C32" s="924" t="s">
        <v>1410</v>
      </c>
      <c r="D32" s="923"/>
      <c r="E32" s="2584"/>
      <c r="F32" s="2689">
        <v>1</v>
      </c>
      <c r="G32" s="2685"/>
      <c r="H32" s="937"/>
      <c r="I32" s="2685"/>
      <c r="J32" s="1128"/>
      <c r="K32" s="1128"/>
      <c r="L32" s="2698"/>
      <c r="M32" s="3185" t="s">
        <v>1328</v>
      </c>
      <c r="N32" s="3186"/>
      <c r="O32" s="2584"/>
      <c r="P32" s="2687"/>
    </row>
    <row r="33" spans="1:20" ht="12.75" customHeight="1">
      <c r="A33" s="937"/>
      <c r="B33" s="2688"/>
      <c r="C33" s="2691" t="s">
        <v>877</v>
      </c>
      <c r="D33" s="2686"/>
      <c r="E33" s="937"/>
      <c r="F33" s="2687">
        <v>48.9</v>
      </c>
      <c r="G33" s="2685"/>
      <c r="H33" s="2690"/>
      <c r="I33" s="2685"/>
      <c r="J33" s="3187"/>
      <c r="K33" s="1128"/>
      <c r="M33" s="3185" t="s">
        <v>858</v>
      </c>
      <c r="N33" s="2699"/>
      <c r="O33" s="3186" t="s">
        <v>1329</v>
      </c>
      <c r="P33" s="2690"/>
    </row>
    <row r="34" spans="1:20" ht="12.95" customHeight="1">
      <c r="C34" s="2691" t="s">
        <v>1526</v>
      </c>
      <c r="D34" s="2686"/>
      <c r="E34" s="937"/>
      <c r="F34" s="2687">
        <v>-29</v>
      </c>
      <c r="H34" s="937"/>
      <c r="I34" s="2685"/>
      <c r="J34" s="3187"/>
      <c r="K34" s="1128"/>
      <c r="M34" s="3185"/>
      <c r="N34" s="2699"/>
      <c r="O34" s="3186"/>
    </row>
    <row r="35" spans="1:20" ht="12.75" customHeight="1">
      <c r="A35" s="937"/>
      <c r="B35" s="2690"/>
      <c r="C35" s="2691" t="s">
        <v>878</v>
      </c>
      <c r="D35" s="2686"/>
      <c r="E35" s="937"/>
      <c r="F35" s="2687">
        <v>3.1</v>
      </c>
      <c r="G35" s="2690"/>
      <c r="H35" s="937"/>
      <c r="I35" s="2585" t="s">
        <v>881</v>
      </c>
      <c r="J35" s="1128"/>
      <c r="K35" s="1128"/>
      <c r="M35" s="3188">
        <v>1196345</v>
      </c>
      <c r="N35" s="2699"/>
      <c r="O35" s="3189">
        <v>0</v>
      </c>
      <c r="P35" s="2690"/>
    </row>
    <row r="36" spans="1:20" ht="12.75" customHeight="1">
      <c r="A36" s="2685"/>
      <c r="B36" s="2688"/>
      <c r="C36" s="2691" t="s">
        <v>1030</v>
      </c>
      <c r="D36" s="2686"/>
      <c r="E36" s="937"/>
      <c r="F36" s="2687">
        <v>218</v>
      </c>
      <c r="G36" s="2685"/>
      <c r="H36" s="937"/>
      <c r="I36" s="2585" t="s">
        <v>1411</v>
      </c>
      <c r="J36" s="1128"/>
      <c r="K36" s="1128"/>
      <c r="M36" s="2701">
        <v>0</v>
      </c>
      <c r="N36" s="2699"/>
      <c r="O36" s="3574">
        <v>0</v>
      </c>
      <c r="P36" s="2690"/>
      <c r="R36" s="2584"/>
    </row>
    <row r="37" spans="1:20" ht="12.75" customHeight="1">
      <c r="A37" s="937"/>
      <c r="B37" s="2688"/>
      <c r="C37" s="2691"/>
      <c r="D37" s="2686"/>
      <c r="E37" s="937"/>
      <c r="F37" s="2687"/>
      <c r="G37" s="2685"/>
      <c r="H37" s="937"/>
      <c r="I37" s="2585" t="s">
        <v>882</v>
      </c>
      <c r="J37" s="1128"/>
      <c r="K37" s="2585"/>
      <c r="M37" s="3190">
        <v>3167780</v>
      </c>
      <c r="N37" s="2700"/>
      <c r="O37" s="3191">
        <v>166668</v>
      </c>
      <c r="P37" s="2690"/>
      <c r="R37" s="931"/>
    </row>
    <row r="38" spans="1:20" ht="12.75" customHeight="1">
      <c r="A38" s="937"/>
      <c r="B38" s="2691" t="s">
        <v>880</v>
      </c>
      <c r="C38" s="2691"/>
      <c r="D38" s="2683"/>
      <c r="E38" s="2684"/>
      <c r="F38" s="2689"/>
      <c r="G38" s="2685"/>
      <c r="H38" s="2685"/>
      <c r="I38" s="2585" t="s">
        <v>883</v>
      </c>
      <c r="J38" s="1128"/>
      <c r="K38" s="2585"/>
      <c r="M38" s="3190">
        <v>1785546</v>
      </c>
      <c r="N38" s="2699"/>
      <c r="O38" s="3192">
        <v>0</v>
      </c>
      <c r="P38" s="2690"/>
      <c r="R38" s="931"/>
      <c r="T38" s="1120"/>
    </row>
    <row r="39" spans="1:20" ht="12.75" customHeight="1">
      <c r="B39" s="937" t="s">
        <v>1496</v>
      </c>
      <c r="C39" s="923"/>
      <c r="F39" s="3459"/>
      <c r="H39" s="2685"/>
      <c r="I39" s="2585" t="s">
        <v>884</v>
      </c>
      <c r="J39" s="1128"/>
      <c r="K39" s="2585"/>
      <c r="M39" s="2701">
        <v>0</v>
      </c>
      <c r="N39" s="2699"/>
      <c r="O39" s="2701">
        <v>0</v>
      </c>
      <c r="P39" s="2695"/>
      <c r="T39" s="1120"/>
    </row>
    <row r="40" spans="1:20" ht="12.95" customHeight="1">
      <c r="B40" s="937" t="s">
        <v>1527</v>
      </c>
      <c r="C40" s="2691"/>
      <c r="F40" s="2689"/>
      <c r="H40" s="2685"/>
      <c r="I40" s="2585" t="s">
        <v>1048</v>
      </c>
      <c r="J40" s="1128"/>
      <c r="K40" s="2585"/>
      <c r="M40" s="2701">
        <v>0</v>
      </c>
      <c r="N40" s="2699"/>
      <c r="O40" s="2701">
        <v>0</v>
      </c>
      <c r="P40" s="2695"/>
      <c r="T40" s="1120"/>
    </row>
    <row r="41" spans="1:20" ht="12.75" customHeight="1" thickBot="1">
      <c r="B41" s="2586"/>
      <c r="C41" s="3460"/>
      <c r="D41" s="2586"/>
      <c r="E41" s="2586"/>
      <c r="F41" s="3458"/>
      <c r="G41" s="2685"/>
      <c r="H41" s="2685"/>
      <c r="I41" s="2585" t="s">
        <v>885</v>
      </c>
      <c r="J41" s="1128"/>
      <c r="K41" s="2585"/>
      <c r="M41" s="3193">
        <f>SUM(M35:M40)</f>
        <v>6149671</v>
      </c>
      <c r="N41" s="3194"/>
      <c r="O41" s="3195">
        <f>SUM(O35:O40)</f>
        <v>166668</v>
      </c>
      <c r="P41" s="2687"/>
      <c r="T41" s="1120"/>
    </row>
    <row r="42" spans="1:20" ht="12.75" customHeight="1" thickTop="1">
      <c r="B42" s="2585" t="s">
        <v>1079</v>
      </c>
      <c r="C42" s="924"/>
      <c r="F42" s="2689"/>
      <c r="H42" s="2685"/>
      <c r="I42" s="2685"/>
      <c r="J42" s="2688"/>
      <c r="K42" s="2688"/>
      <c r="L42" s="2683"/>
      <c r="M42" s="2684"/>
      <c r="N42" s="2685"/>
      <c r="O42" s="2685"/>
      <c r="P42" s="2687"/>
      <c r="T42" s="1120"/>
    </row>
    <row r="43" spans="1:20" ht="12.75" customHeight="1">
      <c r="A43" s="2685"/>
      <c r="B43" s="2585" t="s">
        <v>1080</v>
      </c>
      <c r="C43" s="924"/>
      <c r="F43" s="2689"/>
      <c r="G43" s="2685"/>
      <c r="H43" s="2586"/>
      <c r="I43" s="2586"/>
      <c r="J43" s="2586"/>
      <c r="K43" s="2586"/>
      <c r="L43" s="2586"/>
      <c r="M43" s="2586"/>
      <c r="N43" s="2586"/>
      <c r="P43" s="937"/>
      <c r="T43" s="1120"/>
    </row>
    <row r="44" spans="1:20" ht="12.75" customHeight="1">
      <c r="A44" s="937"/>
      <c r="B44" s="2585" t="s">
        <v>1484</v>
      </c>
      <c r="C44" s="2691"/>
      <c r="D44" s="2683"/>
      <c r="E44" s="2684"/>
      <c r="F44" s="2689"/>
      <c r="G44" s="2685"/>
      <c r="H44" s="2696" t="s">
        <v>1502</v>
      </c>
      <c r="I44" s="937" t="s">
        <v>1503</v>
      </c>
      <c r="J44" s="2397"/>
      <c r="K44" s="2398"/>
      <c r="M44" s="2396"/>
      <c r="N44" s="2396"/>
      <c r="P44" s="937"/>
      <c r="T44" s="1120"/>
    </row>
    <row r="45" spans="1:20" ht="12.75" customHeight="1">
      <c r="A45" s="2685"/>
      <c r="B45" s="3455" t="s">
        <v>1485</v>
      </c>
      <c r="C45" s="2691"/>
      <c r="D45" s="2683"/>
      <c r="E45" s="2684"/>
      <c r="F45" s="2689"/>
      <c r="G45" s="2685"/>
      <c r="H45" s="937"/>
      <c r="I45" s="937" t="s">
        <v>1507</v>
      </c>
      <c r="J45" s="2397"/>
      <c r="K45" s="2398"/>
      <c r="M45" s="2396"/>
      <c r="N45" s="2396"/>
      <c r="P45" s="937"/>
      <c r="T45" s="1120"/>
    </row>
    <row r="46" spans="1:20" ht="12.75" customHeight="1">
      <c r="A46" s="937"/>
      <c r="B46" s="3456" t="s">
        <v>15</v>
      </c>
      <c r="C46" s="2691"/>
      <c r="D46" s="2683"/>
      <c r="E46" s="2684"/>
      <c r="F46" s="2689"/>
      <c r="G46" s="2685"/>
      <c r="H46" s="2702" t="s">
        <v>15</v>
      </c>
      <c r="I46" s="2585" t="s">
        <v>1504</v>
      </c>
      <c r="J46" s="1128"/>
      <c r="K46" s="1128"/>
      <c r="L46" s="2684"/>
      <c r="M46" s="2684"/>
      <c r="N46" s="2684"/>
      <c r="P46" s="937"/>
      <c r="T46" s="1120"/>
    </row>
    <row r="47" spans="1:20" ht="13.5" customHeight="1">
      <c r="B47" s="2736" t="s">
        <v>1408</v>
      </c>
      <c r="H47" s="937"/>
      <c r="I47" s="2585" t="s">
        <v>1505</v>
      </c>
      <c r="J47" s="1128"/>
      <c r="K47" s="1128"/>
      <c r="L47" s="2684"/>
      <c r="M47" s="2684"/>
      <c r="N47" s="2684"/>
      <c r="P47" s="937"/>
    </row>
    <row r="48" spans="1:20" ht="13.5" customHeight="1">
      <c r="A48" s="2584"/>
      <c r="B48" s="2585" t="s">
        <v>1497</v>
      </c>
      <c r="C48" s="2691"/>
      <c r="F48" s="2687"/>
      <c r="G48" s="2685"/>
      <c r="H48" s="2690"/>
      <c r="I48" s="2585" t="s">
        <v>1506</v>
      </c>
      <c r="J48" s="1128"/>
      <c r="K48" s="2691"/>
      <c r="L48" s="937"/>
      <c r="M48" s="937"/>
      <c r="N48" s="937"/>
      <c r="P48" s="937"/>
    </row>
    <row r="49" spans="1:21" ht="12.75" customHeight="1">
      <c r="A49" s="2584"/>
      <c r="B49" s="2585" t="s">
        <v>1498</v>
      </c>
      <c r="C49" s="2691"/>
      <c r="D49" s="2686"/>
      <c r="E49" s="937"/>
      <c r="F49" s="2687"/>
      <c r="G49" s="937"/>
      <c r="H49" s="937"/>
      <c r="P49" s="937"/>
    </row>
    <row r="50" spans="1:21" ht="12.75" customHeight="1">
      <c r="B50" s="3456" t="s">
        <v>1516</v>
      </c>
      <c r="P50" s="937"/>
    </row>
    <row r="51" spans="1:21" ht="12.95" customHeight="1">
      <c r="B51" s="3456"/>
      <c r="H51" s="937"/>
    </row>
    <row r="52" spans="1:21" ht="12.75" customHeight="1">
      <c r="B52" s="2585" t="s">
        <v>1077</v>
      </c>
      <c r="C52" s="1128"/>
      <c r="D52" s="2683"/>
      <c r="E52" s="2684"/>
      <c r="F52" s="2685"/>
      <c r="G52" s="2685"/>
      <c r="H52" s="2586"/>
      <c r="S52" s="922"/>
      <c r="T52" s="1120"/>
      <c r="U52" s="1120"/>
    </row>
    <row r="53" spans="1:21" ht="12.75" customHeight="1">
      <c r="A53" s="2584"/>
      <c r="B53" s="1128"/>
      <c r="C53" s="1128"/>
      <c r="D53" s="2683"/>
      <c r="E53" s="2684"/>
      <c r="F53" s="2685"/>
      <c r="G53" s="2685"/>
      <c r="H53" s="2586"/>
      <c r="S53" s="934"/>
      <c r="T53" s="1120"/>
      <c r="U53" s="1120"/>
    </row>
    <row r="54" spans="1:21" ht="12.75" customHeight="1">
      <c r="A54" s="2584"/>
      <c r="B54" s="2394"/>
      <c r="C54" s="924" t="s">
        <v>1495</v>
      </c>
      <c r="D54" s="2395"/>
      <c r="F54" s="3457">
        <v>2.5</v>
      </c>
      <c r="G54" s="937" t="s">
        <v>865</v>
      </c>
      <c r="H54" s="2586"/>
      <c r="S54" s="934"/>
      <c r="T54" s="1120"/>
      <c r="U54" s="1120"/>
    </row>
    <row r="55" spans="1:21" ht="12.75" customHeight="1">
      <c r="B55" s="2394"/>
      <c r="C55" s="2691" t="s">
        <v>1528</v>
      </c>
      <c r="D55" s="2683"/>
      <c r="E55" s="2684"/>
      <c r="F55" s="3458">
        <v>7.5</v>
      </c>
      <c r="G55" s="2395"/>
      <c r="I55" s="2586"/>
      <c r="J55" s="2586"/>
      <c r="K55" s="2586"/>
      <c r="L55" s="2586"/>
      <c r="M55" s="2586"/>
      <c r="N55" s="2586"/>
      <c r="S55" s="935"/>
      <c r="T55" s="1120"/>
      <c r="U55" s="1120"/>
    </row>
    <row r="56" spans="1:21" ht="12.75" customHeight="1">
      <c r="A56" s="2586"/>
      <c r="B56" s="2586"/>
      <c r="C56" s="3460" t="s">
        <v>1118</v>
      </c>
      <c r="D56" s="2395"/>
      <c r="F56" s="3458">
        <v>10.199999999999999</v>
      </c>
      <c r="G56" s="2685"/>
      <c r="R56" s="926"/>
    </row>
    <row r="57" spans="1:21" ht="12.75" customHeight="1">
      <c r="G57" s="2685"/>
      <c r="H57" s="2586"/>
      <c r="I57" s="2586"/>
      <c r="J57" s="2586"/>
      <c r="K57" s="2586"/>
      <c r="L57" s="2586"/>
      <c r="M57" s="2586"/>
      <c r="N57" s="2586"/>
      <c r="R57" s="926"/>
    </row>
    <row r="58" spans="1:21" ht="12.75" customHeight="1">
      <c r="R58" s="2399"/>
    </row>
    <row r="59" spans="1:21" ht="12.75" customHeight="1">
      <c r="A59" s="2586"/>
      <c r="B59" s="2586"/>
      <c r="C59" s="2586"/>
      <c r="D59" s="2586"/>
      <c r="E59" s="2586"/>
      <c r="F59" s="2586"/>
      <c r="G59" s="2586"/>
      <c r="I59" s="937"/>
      <c r="R59" s="2399"/>
    </row>
    <row r="60" spans="1:21" ht="12.75" customHeight="1">
      <c r="I60" s="937"/>
      <c r="J60" s="2586"/>
      <c r="K60" s="2586"/>
      <c r="L60" s="2586"/>
      <c r="M60" s="2586"/>
      <c r="N60" s="2586"/>
      <c r="R60" s="2399"/>
    </row>
    <row r="61" spans="1:21" ht="12.75" customHeight="1">
      <c r="I61" s="937"/>
      <c r="J61" s="2586"/>
      <c r="K61" s="2586"/>
      <c r="L61" s="2586"/>
      <c r="M61" s="2586"/>
      <c r="N61" s="2586"/>
      <c r="R61" s="2399"/>
    </row>
    <row r="62" spans="1:21" ht="12.75" customHeight="1">
      <c r="I62" s="937"/>
      <c r="J62" s="2586"/>
      <c r="K62" s="2586"/>
      <c r="L62" s="2586"/>
      <c r="M62" s="2586"/>
      <c r="N62" s="2586"/>
      <c r="R62" s="2399"/>
    </row>
    <row r="63" spans="1:21" ht="12.75" customHeight="1">
      <c r="I63" s="2695"/>
      <c r="J63" s="2586"/>
      <c r="K63" s="2586"/>
      <c r="L63" s="2586"/>
      <c r="M63" s="2586"/>
      <c r="N63" s="2586"/>
      <c r="R63" s="2399"/>
    </row>
    <row r="64" spans="1:21" ht="12.75" customHeight="1">
      <c r="I64" s="2695"/>
      <c r="J64" s="2586"/>
      <c r="K64" s="2586"/>
      <c r="L64" s="2586"/>
      <c r="M64" s="2586"/>
      <c r="N64" s="2586"/>
      <c r="R64" s="2399"/>
    </row>
    <row r="65" spans="8:18" ht="12.75" customHeight="1">
      <c r="I65" s="937"/>
      <c r="J65" s="2586"/>
      <c r="K65" s="2586"/>
      <c r="L65" s="2586"/>
      <c r="M65" s="2586"/>
      <c r="N65" s="2586"/>
      <c r="R65" s="2399"/>
    </row>
    <row r="66" spans="8:18" ht="12.75" customHeight="1">
      <c r="I66" s="937"/>
      <c r="J66" s="2586"/>
      <c r="K66" s="2586"/>
      <c r="L66" s="2586"/>
      <c r="M66" s="2586"/>
      <c r="N66" s="2586"/>
      <c r="R66" s="2399"/>
    </row>
    <row r="67" spans="8:18" ht="12.75" customHeight="1">
      <c r="I67" s="937"/>
      <c r="R67" s="2399"/>
    </row>
    <row r="68" spans="8:18" ht="12.75" customHeight="1">
      <c r="I68" s="2690"/>
      <c r="R68" s="2399"/>
    </row>
    <row r="69" spans="8:18" ht="12.75" customHeight="1">
      <c r="I69" s="2690"/>
      <c r="J69" s="2586"/>
      <c r="K69" s="2586"/>
      <c r="L69" s="2586"/>
      <c r="M69" s="2586"/>
      <c r="N69" s="2586"/>
      <c r="P69" s="2690"/>
      <c r="R69" s="2399"/>
    </row>
    <row r="70" spans="8:18" ht="12.75" customHeight="1">
      <c r="I70" s="937"/>
      <c r="J70" s="2586"/>
      <c r="K70" s="2586"/>
      <c r="L70" s="2586"/>
      <c r="M70" s="2586"/>
      <c r="N70" s="2586"/>
      <c r="P70" s="2690"/>
      <c r="R70" s="2399"/>
    </row>
    <row r="71" spans="8:18" ht="12.75" customHeight="1">
      <c r="I71" s="2740"/>
      <c r="P71" s="2690"/>
      <c r="R71" s="2399"/>
    </row>
    <row r="72" spans="8:18" ht="12.75" customHeight="1">
      <c r="I72" s="2685"/>
      <c r="R72" s="2399"/>
    </row>
    <row r="73" spans="8:18" ht="12.75" customHeight="1">
      <c r="H73" s="932"/>
      <c r="I73" s="2685"/>
      <c r="J73" s="2586"/>
      <c r="K73" s="2586"/>
      <c r="L73" s="2586"/>
      <c r="M73" s="2586"/>
      <c r="N73" s="2586"/>
      <c r="R73" s="2399"/>
    </row>
    <row r="74" spans="8:18" s="932" customFormat="1" ht="12.75" customHeight="1">
      <c r="I74" s="2586"/>
      <c r="J74" s="2691"/>
      <c r="K74" s="2585"/>
      <c r="L74" s="2684"/>
      <c r="M74" s="2684"/>
      <c r="N74" s="2684"/>
      <c r="O74" s="2690"/>
      <c r="P74" s="2586"/>
      <c r="R74" s="2399"/>
    </row>
    <row r="75" spans="8:18" s="932" customFormat="1" ht="12.75" customHeight="1">
      <c r="H75" s="2584"/>
      <c r="I75" s="2586"/>
      <c r="J75" s="1128"/>
      <c r="K75" s="2684"/>
      <c r="L75" s="2684"/>
      <c r="M75" s="2684"/>
      <c r="N75" s="2684"/>
      <c r="O75" s="2690"/>
      <c r="P75" s="2586"/>
      <c r="R75" s="2399"/>
    </row>
    <row r="76" spans="8:18" ht="12.75" customHeight="1">
      <c r="I76" s="3196"/>
      <c r="J76" s="1128"/>
      <c r="K76" s="2684"/>
      <c r="L76" s="2684"/>
      <c r="M76" s="2684"/>
      <c r="N76" s="2684"/>
      <c r="O76" s="2690"/>
      <c r="R76" s="936"/>
    </row>
    <row r="77" spans="8:18" ht="12.75" customHeight="1">
      <c r="I77" s="2586"/>
      <c r="J77" s="1128"/>
      <c r="K77" s="2684"/>
      <c r="L77" s="2684"/>
      <c r="M77" s="2684"/>
      <c r="N77" s="2684"/>
      <c r="O77" s="2690"/>
      <c r="R77" s="936"/>
    </row>
    <row r="78" spans="8:18" ht="12.75" customHeight="1">
      <c r="I78" s="2586"/>
      <c r="R78" s="936"/>
    </row>
    <row r="79" spans="8:18" ht="12.75" customHeight="1">
      <c r="I79" s="2586"/>
      <c r="R79" s="932"/>
    </row>
    <row r="80" spans="8:18" ht="12.75" customHeight="1"/>
    <row r="81" spans="1:18" ht="12.75" customHeight="1">
      <c r="Q81" s="932"/>
    </row>
    <row r="82" spans="1:18" ht="12.6" customHeight="1"/>
    <row r="83" spans="1:18" ht="12.6" customHeight="1"/>
    <row r="84" spans="1:18" ht="12.6" customHeight="1"/>
    <row r="85" spans="1:18" ht="12.6" customHeight="1">
      <c r="P85" s="932"/>
    </row>
    <row r="86" spans="1:18" ht="12.75" customHeight="1">
      <c r="I86" s="2586"/>
      <c r="P86" s="932"/>
    </row>
    <row r="87" spans="1:18" ht="12.75" customHeight="1">
      <c r="I87" s="2586"/>
    </row>
    <row r="88" spans="1:18" ht="12.75" customHeight="1">
      <c r="I88" s="2586"/>
    </row>
    <row r="89" spans="1:18" ht="12.75" customHeight="1">
      <c r="A89" s="2586"/>
      <c r="B89" s="2586"/>
      <c r="C89" s="2586"/>
      <c r="D89" s="2586"/>
      <c r="E89" s="2586"/>
      <c r="F89" s="2586"/>
      <c r="G89" s="2586"/>
      <c r="I89" s="932"/>
      <c r="R89" s="927"/>
    </row>
    <row r="90" spans="1:18" ht="12.75" customHeight="1">
      <c r="A90" s="1124"/>
      <c r="B90" s="949"/>
      <c r="C90" s="1201"/>
      <c r="D90" s="1202"/>
      <c r="E90" s="1203"/>
      <c r="F90" s="1202"/>
      <c r="G90" s="1124"/>
      <c r="I90" s="932"/>
      <c r="P90" s="932"/>
      <c r="R90" s="927"/>
    </row>
    <row r="91" spans="1:18" ht="12.75" customHeight="1">
      <c r="A91" s="1124"/>
      <c r="B91" s="949"/>
      <c r="C91" s="1201"/>
      <c r="D91" s="949"/>
      <c r="E91" s="949"/>
      <c r="F91" s="949"/>
      <c r="G91" s="1124"/>
      <c r="H91" s="932"/>
      <c r="I91" s="932"/>
      <c r="J91" s="2586"/>
      <c r="K91" s="932"/>
      <c r="L91" s="932"/>
      <c r="M91" s="932"/>
      <c r="N91" s="932"/>
      <c r="O91" s="932"/>
      <c r="P91" s="932"/>
      <c r="Q91" s="932"/>
      <c r="R91" s="927"/>
    </row>
    <row r="92" spans="1:18" ht="12.75" customHeight="1">
      <c r="A92" s="1124"/>
      <c r="B92" s="949"/>
      <c r="C92" s="1201"/>
      <c r="D92" s="949"/>
      <c r="E92" s="949"/>
      <c r="F92" s="949"/>
      <c r="G92" s="1124"/>
      <c r="H92" s="932"/>
      <c r="I92" s="2584"/>
      <c r="J92" s="2586"/>
      <c r="K92" s="932"/>
      <c r="L92" s="932"/>
      <c r="M92" s="932"/>
      <c r="N92" s="932"/>
      <c r="O92" s="932"/>
      <c r="Q92" s="932"/>
      <c r="R92" s="927"/>
    </row>
    <row r="93" spans="1:18" ht="12.75" customHeight="1">
      <c r="A93" s="1124"/>
      <c r="B93" s="949"/>
      <c r="C93" s="1201"/>
      <c r="D93" s="1204"/>
      <c r="E93" s="949"/>
      <c r="F93" s="1204"/>
      <c r="G93" s="1124"/>
      <c r="I93" s="2586"/>
      <c r="J93" s="2586"/>
      <c r="Q93" s="932"/>
      <c r="R93" s="927"/>
    </row>
    <row r="94" spans="1:18" ht="12.75" customHeight="1">
      <c r="A94" s="1124"/>
      <c r="B94" s="949"/>
      <c r="C94" s="1123"/>
      <c r="D94" s="1205"/>
      <c r="E94" s="949"/>
      <c r="F94" s="1205"/>
      <c r="G94" s="1124"/>
      <c r="I94" s="2586"/>
      <c r="J94" s="2586"/>
      <c r="Q94" s="932"/>
      <c r="R94" s="927"/>
    </row>
    <row r="95" spans="1:18" ht="12.75" customHeight="1">
      <c r="A95" s="1124"/>
      <c r="B95" s="949"/>
      <c r="C95" s="1123"/>
      <c r="D95" s="1205"/>
      <c r="E95" s="949"/>
      <c r="F95" s="1205"/>
      <c r="G95" s="1124"/>
      <c r="I95" s="2586"/>
      <c r="J95" s="2586"/>
      <c r="Q95" s="932"/>
      <c r="R95" s="927"/>
    </row>
    <row r="96" spans="1:18" ht="12.75" customHeight="1">
      <c r="A96" s="1124"/>
      <c r="B96" s="949"/>
      <c r="C96" s="1123"/>
      <c r="D96" s="1204"/>
      <c r="E96" s="949"/>
      <c r="F96" s="1204"/>
      <c r="G96" s="1204"/>
      <c r="I96" s="2586"/>
      <c r="J96" s="2586"/>
      <c r="K96" s="2584"/>
      <c r="L96" s="2584"/>
      <c r="M96" s="2584"/>
      <c r="N96" s="2584"/>
      <c r="O96" s="932"/>
      <c r="Q96" s="932"/>
      <c r="R96" s="927"/>
    </row>
    <row r="97" spans="1:19" ht="12.75" customHeight="1">
      <c r="A97" s="1199"/>
      <c r="B97" s="949"/>
      <c r="C97" s="949"/>
      <c r="D97" s="949"/>
      <c r="E97" s="1205"/>
      <c r="F97" s="1205"/>
      <c r="G97" s="1204"/>
      <c r="I97" s="2586"/>
      <c r="J97" s="2586"/>
      <c r="K97" s="2584"/>
      <c r="L97" s="2584"/>
      <c r="M97" s="2584"/>
      <c r="N97" s="2584"/>
      <c r="O97" s="932"/>
      <c r="Q97" s="932"/>
      <c r="R97" s="927"/>
    </row>
    <row r="98" spans="1:19" ht="12.75" customHeight="1">
      <c r="A98" s="948"/>
      <c r="B98" s="949"/>
      <c r="C98" s="949"/>
      <c r="D98" s="949"/>
      <c r="E98" s="1205"/>
      <c r="F98" s="1205"/>
      <c r="G98" s="938"/>
      <c r="P98" s="927"/>
      <c r="R98" s="927"/>
    </row>
    <row r="99" spans="1:19" ht="12.75" customHeight="1">
      <c r="B99" s="2585"/>
      <c r="C99" s="2585"/>
      <c r="D99" s="2585"/>
      <c r="E99" s="939"/>
      <c r="F99" s="939"/>
      <c r="G99" s="938"/>
      <c r="I99" s="2392" t="s">
        <v>15</v>
      </c>
      <c r="J99" s="2586"/>
      <c r="P99" s="927"/>
      <c r="R99" s="927"/>
    </row>
    <row r="100" spans="1:19" ht="12.75" customHeight="1">
      <c r="B100" s="2585"/>
      <c r="C100" s="2585"/>
      <c r="D100" s="2585"/>
      <c r="E100" s="939"/>
      <c r="F100" s="939"/>
      <c r="G100" s="1122"/>
      <c r="I100" s="2392" t="s">
        <v>15</v>
      </c>
      <c r="J100" s="2586"/>
      <c r="P100" s="927"/>
      <c r="R100" s="927"/>
    </row>
    <row r="101" spans="1:19" ht="12.75" customHeight="1">
      <c r="E101" s="942"/>
      <c r="F101" s="1121"/>
      <c r="I101" s="2392" t="s">
        <v>15</v>
      </c>
      <c r="J101" s="2586"/>
      <c r="P101" s="927"/>
      <c r="R101" s="927"/>
    </row>
    <row r="102" spans="1:19" ht="11.25" customHeight="1">
      <c r="I102" s="2393" t="s">
        <v>15</v>
      </c>
      <c r="J102" s="2586"/>
      <c r="P102" s="927"/>
      <c r="R102" s="927"/>
    </row>
    <row r="103" spans="1:19" ht="11.25" customHeight="1">
      <c r="G103" s="2584"/>
      <c r="P103" s="927"/>
      <c r="R103" s="927"/>
    </row>
    <row r="104" spans="1:19" ht="11.25" customHeight="1">
      <c r="A104" s="2584"/>
      <c r="B104" s="2584"/>
      <c r="C104" s="924"/>
      <c r="D104" s="2584"/>
      <c r="E104" s="2584"/>
      <c r="F104" s="2584"/>
      <c r="G104" s="2584"/>
      <c r="I104" s="932"/>
      <c r="K104" s="2584"/>
      <c r="L104" s="2584"/>
      <c r="M104" s="2584"/>
      <c r="N104" s="2584"/>
      <c r="O104" s="932"/>
      <c r="P104" s="927"/>
      <c r="R104" s="927"/>
      <c r="S104" s="2584"/>
    </row>
    <row r="105" spans="1:19" ht="12.75" customHeight="1">
      <c r="A105" s="920"/>
      <c r="B105" s="923"/>
      <c r="C105" s="2584"/>
      <c r="D105" s="2584"/>
      <c r="E105" s="2584"/>
      <c r="F105" s="2584"/>
      <c r="G105" s="937"/>
      <c r="H105" s="2586"/>
      <c r="I105" s="2586"/>
      <c r="J105" s="932"/>
      <c r="K105" s="2584"/>
      <c r="L105" s="2584"/>
      <c r="M105" s="2584"/>
      <c r="N105" s="2584"/>
      <c r="O105" s="932"/>
      <c r="P105" s="927"/>
      <c r="S105" s="2584"/>
    </row>
    <row r="106" spans="1:19" ht="12" customHeight="1">
      <c r="C106" s="2585"/>
      <c r="D106" s="2585"/>
      <c r="E106" s="2585"/>
      <c r="F106" s="937"/>
      <c r="G106" s="937"/>
      <c r="H106" s="2586"/>
      <c r="I106" s="2586"/>
      <c r="J106" s="932"/>
      <c r="K106" s="2584"/>
      <c r="L106" s="2584"/>
      <c r="M106" s="2584"/>
      <c r="N106" s="2584"/>
      <c r="O106" s="932"/>
      <c r="P106" s="927"/>
      <c r="S106" s="2584"/>
    </row>
    <row r="107" spans="1:19" ht="12.75" customHeight="1">
      <c r="A107" s="930"/>
      <c r="B107" s="2585"/>
      <c r="C107" s="2585"/>
      <c r="D107" s="2585"/>
      <c r="E107" s="2585"/>
      <c r="F107" s="937"/>
      <c r="G107" s="937"/>
      <c r="H107" s="2586"/>
      <c r="I107" s="2586"/>
      <c r="J107" s="932"/>
      <c r="K107" s="2584"/>
      <c r="L107" s="2584"/>
      <c r="M107" s="2584"/>
      <c r="N107" s="2584"/>
      <c r="O107" s="932"/>
      <c r="S107" s="2584"/>
    </row>
    <row r="108" spans="1:19" ht="12.75" customHeight="1">
      <c r="A108" s="920"/>
      <c r="B108" s="2585"/>
      <c r="C108" s="2585"/>
      <c r="D108" s="2585"/>
      <c r="E108" s="2585"/>
      <c r="F108" s="937"/>
      <c r="G108" s="937"/>
      <c r="H108" s="2586"/>
      <c r="I108" s="2586"/>
      <c r="J108" s="932"/>
      <c r="K108" s="2584"/>
      <c r="L108" s="2584"/>
      <c r="M108" s="2584"/>
      <c r="N108" s="2584"/>
      <c r="O108" s="932"/>
      <c r="R108" s="2584"/>
      <c r="S108" s="2584"/>
    </row>
    <row r="109" spans="1:19" ht="12.75" customHeight="1">
      <c r="A109" s="920"/>
      <c r="B109" s="2585"/>
      <c r="C109" s="2585"/>
      <c r="D109" s="2585"/>
      <c r="E109" s="2585"/>
      <c r="F109" s="937"/>
      <c r="G109" s="937"/>
      <c r="H109" s="2586"/>
      <c r="I109" s="2586"/>
      <c r="J109" s="932"/>
      <c r="K109" s="2584"/>
      <c r="L109" s="2584"/>
      <c r="M109" s="2584"/>
      <c r="N109" s="2584"/>
      <c r="O109" s="932"/>
      <c r="R109" s="2584"/>
      <c r="S109" s="2584"/>
    </row>
    <row r="110" spans="1:19" ht="12.75" customHeight="1">
      <c r="A110" s="920"/>
      <c r="B110" s="2585"/>
      <c r="C110" s="2585"/>
      <c r="D110" s="2585"/>
      <c r="E110" s="2585"/>
      <c r="F110" s="937"/>
      <c r="G110" s="937"/>
      <c r="H110" s="2586"/>
      <c r="I110" s="2586"/>
      <c r="J110" s="932"/>
      <c r="K110" s="2584"/>
      <c r="L110" s="2584"/>
      <c r="M110" s="2584"/>
      <c r="N110" s="2584"/>
      <c r="O110" s="932"/>
      <c r="R110" s="2584"/>
      <c r="S110" s="2584"/>
    </row>
    <row r="111" spans="1:19" ht="12.75" customHeight="1">
      <c r="A111" s="920"/>
      <c r="B111" s="2585"/>
      <c r="C111" s="2585"/>
      <c r="D111" s="2585"/>
      <c r="E111" s="2585"/>
      <c r="F111" s="937"/>
      <c r="G111" s="937"/>
      <c r="H111" s="2586"/>
      <c r="I111" s="2586"/>
      <c r="J111" s="2586"/>
      <c r="K111" s="2584"/>
      <c r="L111" s="2584"/>
      <c r="M111" s="2584"/>
      <c r="N111" s="2584"/>
      <c r="O111" s="932"/>
      <c r="R111" s="2584"/>
      <c r="S111" s="2584"/>
    </row>
    <row r="112" spans="1:19" ht="12.75" customHeight="1">
      <c r="A112" s="920"/>
      <c r="B112" s="2585"/>
      <c r="C112" s="2585"/>
      <c r="D112" s="2585"/>
      <c r="E112" s="2585"/>
      <c r="F112" s="937"/>
      <c r="G112" s="2584"/>
      <c r="H112" s="2586"/>
      <c r="I112" s="2586"/>
      <c r="J112" s="2586"/>
      <c r="K112" s="2584"/>
      <c r="L112" s="2584"/>
      <c r="M112" s="2584"/>
      <c r="N112" s="2584"/>
      <c r="O112" s="932"/>
      <c r="R112" s="2584"/>
      <c r="S112" s="2584"/>
    </row>
    <row r="113" spans="1:19" ht="12.75" customHeight="1">
      <c r="D113" s="923"/>
      <c r="E113" s="2584"/>
      <c r="F113" s="2584"/>
      <c r="G113" s="2584"/>
      <c r="H113" s="2586"/>
      <c r="I113" s="2586"/>
      <c r="J113" s="2586"/>
      <c r="K113" s="2584"/>
      <c r="L113" s="2584"/>
      <c r="M113" s="2584"/>
      <c r="N113" s="2584"/>
      <c r="O113" s="932"/>
      <c r="R113" s="2584"/>
    </row>
    <row r="114" spans="1:19" ht="12.75" customHeight="1">
      <c r="D114" s="923"/>
      <c r="E114" s="2584"/>
      <c r="F114" s="2584"/>
      <c r="G114" s="2584"/>
      <c r="H114" s="932"/>
      <c r="I114" s="932"/>
      <c r="J114" s="932"/>
      <c r="K114" s="2584"/>
      <c r="L114" s="2584"/>
      <c r="M114" s="2584"/>
      <c r="N114" s="2584"/>
      <c r="O114" s="932"/>
      <c r="R114" s="2584"/>
      <c r="S114" s="2584"/>
    </row>
    <row r="115" spans="1:19" ht="12.75" customHeight="1">
      <c r="D115" s="923"/>
      <c r="E115" s="2584"/>
      <c r="F115" s="2584"/>
      <c r="H115" s="1200"/>
      <c r="L115" s="922"/>
      <c r="M115" s="922"/>
      <c r="N115" s="922"/>
      <c r="O115" s="922"/>
      <c r="R115" s="946"/>
      <c r="S115" s="2584"/>
    </row>
    <row r="116" spans="1:19" ht="12.75" customHeight="1">
      <c r="G116" s="2584"/>
      <c r="H116" s="1200"/>
      <c r="L116" s="922"/>
      <c r="M116" s="922"/>
      <c r="N116" s="922"/>
      <c r="O116" s="922"/>
      <c r="R116" s="2584"/>
      <c r="S116" s="2584"/>
    </row>
    <row r="117" spans="1:19" ht="12.75" customHeight="1">
      <c r="D117" s="923"/>
      <c r="E117" s="2584"/>
      <c r="F117" s="2584"/>
      <c r="G117" s="2584"/>
      <c r="H117" s="1200"/>
      <c r="L117" s="922"/>
      <c r="M117" s="922"/>
      <c r="N117" s="922"/>
      <c r="O117" s="922"/>
      <c r="R117" s="2584"/>
      <c r="S117" s="2584"/>
    </row>
    <row r="118" spans="1:19" ht="12.75" customHeight="1">
      <c r="D118" s="923"/>
      <c r="E118" s="2584"/>
      <c r="F118" s="2584"/>
      <c r="G118" s="2584"/>
      <c r="H118" s="1200"/>
      <c r="L118" s="922"/>
      <c r="M118" s="922"/>
      <c r="N118" s="922"/>
      <c r="O118" s="922"/>
      <c r="R118" s="2584"/>
      <c r="S118" s="2584"/>
    </row>
    <row r="119" spans="1:19" ht="12.75" customHeight="1">
      <c r="A119" s="930"/>
      <c r="B119" s="944"/>
      <c r="C119" s="923"/>
      <c r="D119" s="923"/>
      <c r="E119" s="2584"/>
      <c r="F119" s="2584"/>
      <c r="H119" s="1200"/>
      <c r="L119" s="922"/>
      <c r="M119" s="922"/>
      <c r="N119" s="922"/>
      <c r="O119" s="922"/>
      <c r="R119" s="2584"/>
      <c r="S119" s="2584"/>
    </row>
    <row r="120" spans="1:19" ht="12.75" customHeight="1">
      <c r="A120" s="2586"/>
      <c r="B120" s="2584"/>
      <c r="G120" s="945"/>
      <c r="H120" s="1200"/>
      <c r="L120" s="922"/>
      <c r="M120" s="922"/>
      <c r="N120" s="922"/>
      <c r="O120" s="922"/>
      <c r="R120" s="2584"/>
      <c r="S120" s="2584"/>
    </row>
    <row r="121" spans="1:19" ht="12.75" customHeight="1">
      <c r="A121" s="920"/>
      <c r="B121" s="924"/>
      <c r="C121" s="924"/>
      <c r="E121" s="945"/>
      <c r="F121" s="1123"/>
      <c r="G121" s="945"/>
      <c r="H121" s="1200"/>
      <c r="M121" s="2586"/>
      <c r="N121" s="2586"/>
      <c r="R121" s="2584"/>
      <c r="S121" s="2584"/>
    </row>
    <row r="122" spans="1:19" ht="12.75" customHeight="1">
      <c r="A122" s="920"/>
      <c r="B122" s="2184"/>
      <c r="C122" s="2184"/>
      <c r="D122" s="2200"/>
      <c r="E122" s="945"/>
      <c r="F122" s="1123"/>
      <c r="G122" s="2200"/>
      <c r="H122" s="1200"/>
      <c r="I122" s="924"/>
      <c r="M122" s="940"/>
      <c r="N122" s="941"/>
      <c r="R122" s="2584"/>
      <c r="S122" s="2584"/>
    </row>
    <row r="123" spans="1:19" ht="12.75" customHeight="1">
      <c r="A123" s="920"/>
      <c r="B123" s="2184"/>
      <c r="C123" s="2184"/>
      <c r="D123" s="2200"/>
      <c r="E123" s="2201"/>
      <c r="F123" s="2201"/>
      <c r="G123" s="2186"/>
      <c r="H123" s="1200"/>
      <c r="I123" s="924"/>
      <c r="M123" s="940"/>
      <c r="N123" s="941"/>
      <c r="P123" s="941"/>
      <c r="R123" s="2584"/>
      <c r="S123" s="952"/>
    </row>
    <row r="124" spans="1:19" ht="12.75" customHeight="1">
      <c r="A124" s="920"/>
      <c r="B124" s="2185"/>
      <c r="C124" s="2185"/>
      <c r="D124" s="2186"/>
      <c r="E124" s="2186"/>
      <c r="F124" s="2186"/>
      <c r="G124" s="2188"/>
      <c r="H124" s="948"/>
      <c r="I124" s="2586"/>
      <c r="M124" s="940"/>
      <c r="N124" s="941"/>
      <c r="P124" s="927"/>
      <c r="R124" s="952"/>
      <c r="S124" s="952"/>
    </row>
    <row r="125" spans="1:19" ht="12.75" customHeight="1">
      <c r="A125" s="920"/>
      <c r="B125" s="2184"/>
      <c r="C125" s="2184"/>
      <c r="D125" s="2185"/>
      <c r="E125" s="2187"/>
      <c r="F125" s="2185"/>
      <c r="G125" s="2190"/>
      <c r="H125" s="948"/>
      <c r="I125" s="2586"/>
      <c r="M125" s="940"/>
      <c r="N125" s="941"/>
      <c r="P125" s="927"/>
      <c r="R125" s="952"/>
      <c r="S125" s="2584"/>
    </row>
    <row r="126" spans="1:19" ht="12.75" customHeight="1">
      <c r="A126" s="920"/>
      <c r="B126" s="2184"/>
      <c r="C126" s="2184"/>
      <c r="D126" s="2185"/>
      <c r="E126" s="2189"/>
      <c r="F126" s="2185"/>
      <c r="G126" s="2190"/>
      <c r="H126" s="1200"/>
      <c r="I126" s="2586"/>
      <c r="M126" s="940"/>
      <c r="N126" s="941"/>
      <c r="P126" s="927"/>
      <c r="R126" s="952"/>
    </row>
    <row r="127" spans="1:19" ht="12.75" customHeight="1">
      <c r="A127" s="947"/>
      <c r="B127" s="2184"/>
      <c r="C127" s="2184"/>
      <c r="D127" s="2185"/>
      <c r="E127" s="2189"/>
      <c r="F127" s="2185"/>
      <c r="G127" s="2190"/>
      <c r="H127" s="932"/>
      <c r="I127" s="2586"/>
      <c r="M127" s="940"/>
      <c r="N127" s="941"/>
      <c r="P127" s="927"/>
      <c r="R127" s="952"/>
    </row>
    <row r="128" spans="1:19" ht="12.75" customHeight="1">
      <c r="A128" s="2586"/>
      <c r="B128" s="2184"/>
      <c r="C128" s="2184"/>
      <c r="D128" s="2185"/>
      <c r="E128" s="2191"/>
      <c r="F128" s="2185"/>
      <c r="G128" s="2194"/>
      <c r="H128" s="932"/>
      <c r="I128" s="2586"/>
      <c r="M128" s="940"/>
      <c r="N128" s="941"/>
      <c r="P128" s="927"/>
      <c r="R128" s="952"/>
    </row>
    <row r="129" spans="1:18" ht="12.75" customHeight="1">
      <c r="A129" s="2586"/>
      <c r="B129" s="2184"/>
      <c r="C129" s="2184"/>
      <c r="D129" s="2185"/>
      <c r="E129" s="2192"/>
      <c r="F129" s="2193"/>
      <c r="G129" s="2194"/>
      <c r="H129" s="932"/>
      <c r="I129" s="2586"/>
      <c r="M129" s="940"/>
      <c r="N129" s="941"/>
      <c r="P129" s="927"/>
      <c r="R129" s="2584"/>
    </row>
    <row r="130" spans="1:18" ht="12.75" customHeight="1">
      <c r="A130" s="2586"/>
      <c r="B130" s="2184"/>
      <c r="C130" s="2184"/>
      <c r="D130" s="2185"/>
      <c r="E130" s="2194"/>
      <c r="F130" s="2193"/>
      <c r="G130" s="2195"/>
      <c r="I130" s="2586"/>
      <c r="M130" s="940"/>
      <c r="N130" s="941"/>
      <c r="P130" s="927"/>
      <c r="R130" s="2584"/>
    </row>
    <row r="131" spans="1:18" ht="12.75" customHeight="1">
      <c r="A131" s="2397"/>
      <c r="B131" s="2184"/>
      <c r="C131" s="2184"/>
      <c r="D131" s="2185"/>
      <c r="E131" s="2187"/>
      <c r="F131" s="2193"/>
      <c r="G131" s="950"/>
      <c r="I131" s="2586"/>
      <c r="M131" s="940"/>
      <c r="N131" s="941"/>
      <c r="P131" s="927"/>
      <c r="R131" s="2584"/>
    </row>
    <row r="132" spans="1:18" ht="12.75" customHeight="1">
      <c r="B132" s="2585"/>
      <c r="C132" s="2585"/>
      <c r="D132" s="2585"/>
      <c r="E132" s="949"/>
      <c r="F132" s="950"/>
      <c r="G132" s="950"/>
      <c r="I132" s="924"/>
      <c r="M132" s="940"/>
      <c r="N132" s="941"/>
      <c r="P132" s="927"/>
    </row>
    <row r="133" spans="1:18" ht="12.75" customHeight="1">
      <c r="E133" s="951"/>
      <c r="F133" s="1124"/>
      <c r="G133" s="950"/>
      <c r="I133" s="924"/>
      <c r="M133" s="940"/>
      <c r="N133" s="941"/>
      <c r="P133" s="927"/>
    </row>
    <row r="134" spans="1:18" ht="12.75" customHeight="1">
      <c r="E134" s="951"/>
      <c r="F134" s="1124"/>
      <c r="G134" s="937"/>
      <c r="I134" s="924"/>
      <c r="M134" s="940"/>
      <c r="N134" s="941"/>
      <c r="P134" s="927"/>
    </row>
    <row r="135" spans="1:18" ht="12.75" customHeight="1">
      <c r="G135" s="937"/>
      <c r="I135" s="924"/>
      <c r="M135" s="936"/>
      <c r="N135" s="941"/>
      <c r="P135" s="927"/>
    </row>
    <row r="136" spans="1:18" ht="12.75" customHeight="1">
      <c r="I136" s="924"/>
      <c r="J136" s="924"/>
      <c r="K136" s="2584"/>
      <c r="L136" s="933"/>
      <c r="M136" s="943"/>
      <c r="N136" s="943"/>
      <c r="P136" s="927"/>
    </row>
    <row r="137" spans="1:18" ht="12.75" customHeight="1">
      <c r="I137" s="924"/>
      <c r="J137" s="924"/>
      <c r="K137" s="2584"/>
      <c r="L137" s="933"/>
      <c r="M137" s="943"/>
      <c r="N137" s="943"/>
      <c r="P137" s="927"/>
    </row>
    <row r="138" spans="1:18">
      <c r="G138" s="2584"/>
      <c r="I138" s="924"/>
      <c r="J138" s="924"/>
      <c r="K138" s="2584"/>
      <c r="L138" s="933"/>
      <c r="M138" s="943"/>
      <c r="N138" s="943"/>
      <c r="P138" s="927"/>
    </row>
    <row r="139" spans="1:18">
      <c r="C139" s="2394"/>
      <c r="D139" s="923"/>
      <c r="E139" s="2584"/>
      <c r="F139" s="2584"/>
      <c r="G139" s="2584"/>
      <c r="I139" s="924"/>
      <c r="J139" s="924"/>
      <c r="K139" s="2584"/>
      <c r="L139" s="933"/>
      <c r="M139" s="943"/>
      <c r="N139" s="943"/>
      <c r="P139" s="927"/>
    </row>
    <row r="140" spans="1:18">
      <c r="C140" s="1128"/>
      <c r="D140" s="923"/>
      <c r="E140" s="2584"/>
      <c r="F140" s="2584"/>
      <c r="G140" s="2584"/>
      <c r="I140" s="924"/>
      <c r="J140" s="924"/>
      <c r="K140" s="2584"/>
      <c r="L140" s="933"/>
      <c r="M140" s="943"/>
      <c r="N140" s="943"/>
      <c r="P140" s="927"/>
    </row>
    <row r="141" spans="1:18">
      <c r="B141" s="953"/>
      <c r="C141" s="923"/>
      <c r="D141" s="923"/>
      <c r="E141" s="2584"/>
      <c r="F141" s="2584"/>
      <c r="G141" s="2584"/>
      <c r="I141" s="924"/>
      <c r="J141" s="924"/>
      <c r="K141" s="2584"/>
      <c r="L141" s="933"/>
      <c r="M141" s="943"/>
      <c r="N141" s="943"/>
      <c r="P141" s="927"/>
    </row>
    <row r="142" spans="1:18">
      <c r="A142" s="930"/>
      <c r="B142" s="953"/>
      <c r="C142" s="923"/>
      <c r="D142" s="923"/>
      <c r="E142" s="2584"/>
      <c r="F142" s="2584"/>
      <c r="G142" s="2584"/>
      <c r="I142" s="924"/>
      <c r="J142" s="924"/>
      <c r="K142" s="2584"/>
      <c r="L142" s="933"/>
      <c r="M142" s="943"/>
      <c r="N142" s="943"/>
    </row>
    <row r="143" spans="1:18">
      <c r="A143" s="2584"/>
      <c r="B143" s="953"/>
      <c r="C143" s="923"/>
      <c r="D143" s="923"/>
      <c r="E143" s="2584"/>
      <c r="F143" s="2584"/>
      <c r="I143" s="924"/>
      <c r="J143" s="924"/>
      <c r="K143" s="2584"/>
      <c r="L143" s="933"/>
      <c r="M143" s="943"/>
      <c r="N143" s="943"/>
    </row>
    <row r="144" spans="1:18">
      <c r="A144" s="2584"/>
      <c r="I144" s="924"/>
      <c r="J144" s="924"/>
      <c r="K144" s="2584"/>
      <c r="L144" s="933"/>
      <c r="M144" s="943"/>
      <c r="N144" s="943"/>
    </row>
    <row r="145" spans="1:17">
      <c r="I145" s="924"/>
      <c r="J145" s="924"/>
      <c r="K145" s="2584"/>
      <c r="L145" s="933"/>
      <c r="M145" s="943"/>
      <c r="N145" s="943"/>
      <c r="Q145" s="2584"/>
    </row>
    <row r="146" spans="1:17">
      <c r="A146" s="2584"/>
      <c r="I146" s="924"/>
      <c r="J146" s="924"/>
      <c r="K146" s="2584"/>
      <c r="L146" s="933"/>
      <c r="M146" s="943"/>
      <c r="N146" s="943"/>
      <c r="Q146" s="2584"/>
    </row>
    <row r="147" spans="1:17">
      <c r="A147" s="2584"/>
      <c r="G147" s="2586"/>
      <c r="I147" s="924"/>
      <c r="J147" s="924"/>
      <c r="K147" s="2584"/>
      <c r="L147" s="933"/>
      <c r="M147" s="943"/>
      <c r="N147" s="943"/>
      <c r="Q147" s="2584"/>
    </row>
    <row r="148" spans="1:17">
      <c r="B148" s="2586"/>
      <c r="C148" s="2586"/>
      <c r="D148" s="2586"/>
      <c r="E148" s="2586"/>
      <c r="F148" s="2586"/>
      <c r="G148" s="2586"/>
      <c r="I148" s="924"/>
      <c r="J148" s="924"/>
      <c r="K148" s="2584"/>
      <c r="L148" s="933"/>
      <c r="M148" s="943"/>
      <c r="N148" s="943"/>
      <c r="Q148" s="2584"/>
    </row>
    <row r="149" spans="1:17">
      <c r="B149" s="2586"/>
      <c r="C149" s="2586"/>
      <c r="D149" s="2586"/>
      <c r="E149" s="2586"/>
      <c r="F149" s="2586"/>
      <c r="G149" s="2586"/>
      <c r="I149" s="924"/>
      <c r="J149" s="924"/>
      <c r="K149" s="2584"/>
      <c r="L149" s="933"/>
      <c r="M149" s="943"/>
      <c r="N149" s="943"/>
      <c r="Q149" s="2584"/>
    </row>
    <row r="150" spans="1:17">
      <c r="B150" s="2586"/>
      <c r="C150" s="2586"/>
      <c r="D150" s="2586"/>
      <c r="E150" s="2586"/>
      <c r="F150" s="2586"/>
      <c r="G150" s="2586"/>
      <c r="I150" s="924"/>
      <c r="J150" s="924"/>
      <c r="K150" s="2584"/>
      <c r="L150" s="933"/>
      <c r="M150" s="943"/>
      <c r="N150" s="943"/>
      <c r="Q150" s="2584"/>
    </row>
    <row r="151" spans="1:17">
      <c r="B151" s="2586"/>
      <c r="C151" s="2586"/>
      <c r="D151" s="2586"/>
      <c r="E151" s="2586"/>
      <c r="F151" s="2586"/>
      <c r="G151" s="2586"/>
      <c r="I151" s="924"/>
      <c r="J151" s="924"/>
      <c r="K151" s="2584"/>
      <c r="L151" s="933"/>
      <c r="M151" s="943"/>
      <c r="N151" s="943"/>
      <c r="Q151" s="2584"/>
    </row>
    <row r="152" spans="1:17">
      <c r="B152" s="2586"/>
      <c r="C152" s="2586"/>
      <c r="D152" s="2586"/>
      <c r="E152" s="2586"/>
      <c r="F152" s="2586"/>
      <c r="G152" s="2586"/>
      <c r="I152" s="924"/>
      <c r="J152" s="924"/>
      <c r="K152" s="2584"/>
      <c r="L152" s="933"/>
      <c r="M152" s="943"/>
      <c r="N152" s="943"/>
      <c r="P152" s="927"/>
      <c r="Q152" s="2584"/>
    </row>
    <row r="153" spans="1:17">
      <c r="B153" s="2586"/>
      <c r="C153" s="2586"/>
      <c r="D153" s="2586"/>
      <c r="E153" s="2586"/>
      <c r="F153" s="2586"/>
      <c r="G153" s="2586"/>
      <c r="I153" s="924"/>
      <c r="J153" s="924"/>
      <c r="K153" s="2584"/>
      <c r="L153" s="933"/>
      <c r="M153" s="943"/>
      <c r="N153" s="943"/>
      <c r="P153" s="927"/>
      <c r="Q153" s="2584"/>
    </row>
    <row r="154" spans="1:17">
      <c r="A154" s="2586"/>
      <c r="B154" s="2586"/>
      <c r="C154" s="2586"/>
      <c r="D154" s="2586"/>
      <c r="E154" s="2586"/>
      <c r="F154" s="2586"/>
      <c r="G154" s="2586"/>
      <c r="I154" s="924"/>
      <c r="J154" s="924"/>
      <c r="K154" s="2584"/>
      <c r="L154" s="933"/>
      <c r="M154" s="943"/>
      <c r="N154" s="943"/>
      <c r="P154" s="927"/>
      <c r="Q154" s="2584"/>
    </row>
    <row r="155" spans="1:17">
      <c r="A155" s="2586"/>
      <c r="B155" s="2586"/>
      <c r="C155" s="2586"/>
      <c r="D155" s="2586"/>
      <c r="E155" s="2586"/>
      <c r="F155" s="2586"/>
      <c r="G155" s="2586"/>
      <c r="J155" s="2397"/>
      <c r="K155" s="2584"/>
      <c r="L155" s="933"/>
      <c r="M155" s="943"/>
      <c r="N155" s="943"/>
      <c r="P155" s="927"/>
      <c r="Q155" s="2584"/>
    </row>
    <row r="156" spans="1:17">
      <c r="A156" s="2586"/>
      <c r="B156" s="2586"/>
      <c r="C156" s="2586"/>
      <c r="D156" s="2586"/>
      <c r="E156" s="2586"/>
      <c r="F156" s="2586"/>
      <c r="G156" s="2586"/>
      <c r="J156" s="2397"/>
      <c r="K156" s="2584"/>
      <c r="L156" s="933"/>
      <c r="M156" s="943"/>
      <c r="N156" s="943"/>
      <c r="P156" s="2584"/>
      <c r="Q156" s="2584"/>
    </row>
    <row r="157" spans="1:17">
      <c r="A157" s="2586"/>
      <c r="B157" s="2586"/>
      <c r="C157" s="2586"/>
      <c r="D157" s="2586"/>
      <c r="E157" s="2586"/>
      <c r="F157" s="2586"/>
      <c r="G157" s="2586"/>
      <c r="H157" s="948"/>
      <c r="P157" s="2584"/>
      <c r="Q157" s="2584"/>
    </row>
    <row r="158" spans="1:17">
      <c r="A158" s="2586"/>
      <c r="B158" s="2586"/>
      <c r="C158" s="2586"/>
      <c r="D158" s="2586"/>
      <c r="E158" s="2586"/>
      <c r="F158" s="2586"/>
      <c r="G158" s="2586"/>
      <c r="H158" s="948"/>
      <c r="P158" s="2584"/>
      <c r="Q158" s="2584"/>
    </row>
    <row r="159" spans="1:17">
      <c r="A159" s="2586"/>
      <c r="B159" s="2586"/>
      <c r="C159" s="2586"/>
      <c r="D159" s="2586"/>
      <c r="E159" s="2586"/>
      <c r="F159" s="2586"/>
      <c r="G159" s="2586"/>
      <c r="H159" s="948"/>
      <c r="P159" s="2584"/>
      <c r="Q159" s="2584"/>
    </row>
    <row r="160" spans="1:17">
      <c r="A160" s="2586"/>
      <c r="B160" s="2586"/>
      <c r="C160" s="2586"/>
      <c r="D160" s="2586"/>
      <c r="E160" s="2586"/>
      <c r="F160" s="2586"/>
      <c r="G160" s="2586"/>
      <c r="H160" s="948"/>
      <c r="P160" s="2584"/>
      <c r="Q160" s="2584"/>
    </row>
    <row r="161" spans="1:17">
      <c r="A161" s="2586"/>
      <c r="B161" s="2586"/>
      <c r="C161" s="2586"/>
      <c r="D161" s="2586"/>
      <c r="E161" s="2586"/>
      <c r="F161" s="2586"/>
      <c r="G161" s="2586"/>
      <c r="I161" s="927"/>
      <c r="J161" s="924"/>
      <c r="K161" s="2584"/>
      <c r="L161" s="2584"/>
      <c r="M161" s="2584"/>
      <c r="N161" s="2584"/>
      <c r="O161" s="2584"/>
      <c r="P161" s="2584"/>
      <c r="Q161" s="2584"/>
    </row>
    <row r="162" spans="1:17">
      <c r="A162" s="2586"/>
      <c r="B162" s="2586"/>
      <c r="C162" s="2586"/>
      <c r="D162" s="2586"/>
      <c r="E162" s="2586"/>
      <c r="F162" s="2586"/>
      <c r="G162" s="2586"/>
      <c r="I162" s="927"/>
      <c r="J162" s="924"/>
      <c r="K162" s="2584"/>
      <c r="L162" s="2584"/>
      <c r="M162" s="2584"/>
      <c r="N162" s="2584"/>
      <c r="O162" s="2584"/>
      <c r="P162" s="2584"/>
      <c r="Q162" s="2584"/>
    </row>
    <row r="163" spans="1:17">
      <c r="A163" s="2586"/>
      <c r="B163" s="2586"/>
      <c r="C163" s="2586"/>
      <c r="D163" s="2586"/>
      <c r="E163" s="2586"/>
      <c r="F163" s="2586"/>
      <c r="I163" s="927"/>
      <c r="J163" s="924"/>
      <c r="K163" s="2584"/>
      <c r="L163" s="2584"/>
      <c r="M163" s="2584"/>
      <c r="N163" s="2584"/>
      <c r="O163" s="2584"/>
      <c r="P163" s="2584"/>
      <c r="Q163" s="2584"/>
    </row>
    <row r="164" spans="1:17">
      <c r="A164" s="2586"/>
      <c r="I164" s="927"/>
      <c r="J164" s="924"/>
      <c r="K164" s="2584"/>
      <c r="L164" s="2584"/>
      <c r="M164" s="2584"/>
      <c r="N164" s="2584"/>
      <c r="O164" s="2584"/>
      <c r="Q164" s="2584"/>
    </row>
    <row r="165" spans="1:17">
      <c r="A165" s="2586"/>
      <c r="I165" s="927"/>
      <c r="J165" s="924"/>
      <c r="K165" s="2584"/>
      <c r="L165" s="2584"/>
      <c r="M165" s="2584"/>
      <c r="N165" s="2584"/>
      <c r="O165" s="2584"/>
      <c r="P165" s="2584"/>
      <c r="Q165" s="2584"/>
    </row>
    <row r="166" spans="1:17">
      <c r="A166" s="2586"/>
      <c r="G166" s="2586"/>
      <c r="I166" s="927"/>
      <c r="J166" s="924"/>
      <c r="K166" s="2584"/>
      <c r="L166" s="2584"/>
      <c r="M166" s="2584"/>
      <c r="N166" s="2584"/>
      <c r="O166" s="2584"/>
      <c r="P166" s="946"/>
      <c r="Q166" s="2584"/>
    </row>
    <row r="167" spans="1:17">
      <c r="B167" s="2586"/>
      <c r="C167" s="2586"/>
      <c r="D167" s="2586"/>
      <c r="E167" s="2586"/>
      <c r="F167" s="2586"/>
      <c r="G167" s="2586"/>
      <c r="I167" s="2586"/>
      <c r="J167" s="924"/>
      <c r="K167" s="2584"/>
      <c r="L167" s="2584"/>
      <c r="M167" s="2584"/>
      <c r="N167" s="2584"/>
      <c r="O167" s="2584"/>
      <c r="P167" s="2584"/>
      <c r="Q167" s="2584"/>
    </row>
    <row r="168" spans="1:17">
      <c r="B168" s="2586"/>
      <c r="C168" s="2586"/>
      <c r="D168" s="2586"/>
      <c r="E168" s="2586"/>
      <c r="F168" s="2586"/>
      <c r="G168" s="2586"/>
      <c r="I168" s="2584"/>
      <c r="J168" s="924"/>
      <c r="K168" s="2584"/>
      <c r="L168" s="2584"/>
      <c r="M168" s="2584"/>
      <c r="N168" s="2584"/>
      <c r="O168" s="2584"/>
      <c r="P168" s="954"/>
      <c r="Q168" s="2584"/>
    </row>
    <row r="169" spans="1:17">
      <c r="A169" s="2586"/>
      <c r="B169" s="2586"/>
      <c r="C169" s="2586"/>
      <c r="D169" s="2586"/>
      <c r="E169" s="2586"/>
      <c r="F169" s="2586"/>
      <c r="G169" s="2586"/>
      <c r="I169" s="924"/>
      <c r="J169" s="924"/>
      <c r="K169" s="2584"/>
      <c r="L169" s="2584"/>
      <c r="M169" s="2584"/>
      <c r="N169" s="2584"/>
      <c r="O169" s="2584"/>
      <c r="P169" s="2584"/>
      <c r="Q169" s="2584"/>
    </row>
    <row r="170" spans="1:17">
      <c r="A170" s="2586"/>
      <c r="B170" s="2586"/>
      <c r="C170" s="2586"/>
      <c r="D170" s="2586"/>
      <c r="E170" s="2586"/>
      <c r="F170" s="2586"/>
      <c r="G170" s="2586"/>
      <c r="I170" s="924"/>
      <c r="J170" s="924"/>
      <c r="K170" s="2584"/>
      <c r="L170" s="2584"/>
      <c r="M170" s="2584"/>
      <c r="N170" s="2584"/>
      <c r="O170" s="2584"/>
      <c r="P170" s="2584"/>
      <c r="Q170" s="2584"/>
    </row>
    <row r="171" spans="1:17">
      <c r="A171" s="2586"/>
      <c r="B171" s="2586"/>
      <c r="C171" s="2586"/>
      <c r="D171" s="2586"/>
      <c r="E171" s="2586"/>
      <c r="F171" s="2586"/>
      <c r="G171" s="2586"/>
      <c r="I171" s="924"/>
      <c r="J171" s="924"/>
      <c r="K171" s="2584"/>
      <c r="L171" s="2584"/>
      <c r="M171" s="2584"/>
      <c r="N171" s="2584"/>
      <c r="O171" s="2584"/>
      <c r="P171" s="2584"/>
    </row>
    <row r="172" spans="1:17">
      <c r="A172" s="2586"/>
      <c r="B172" s="2586"/>
      <c r="C172" s="2586"/>
      <c r="D172" s="2586"/>
      <c r="E172" s="2586"/>
      <c r="F172" s="2586"/>
      <c r="G172" s="2586"/>
      <c r="I172" s="924"/>
      <c r="J172" s="924"/>
      <c r="K172" s="2584"/>
      <c r="L172" s="2584"/>
      <c r="M172" s="2584"/>
      <c r="N172" s="2584"/>
      <c r="O172" s="2584"/>
      <c r="P172" s="2584"/>
      <c r="Q172" s="2584"/>
    </row>
    <row r="173" spans="1:17">
      <c r="A173" s="2586"/>
      <c r="B173" s="2586"/>
      <c r="C173" s="2586"/>
      <c r="D173" s="2586"/>
      <c r="E173" s="2586"/>
      <c r="F173" s="2586"/>
      <c r="G173" s="2586"/>
      <c r="I173" s="924"/>
      <c r="J173" s="924"/>
      <c r="K173" s="2584"/>
      <c r="L173" s="2584"/>
      <c r="M173" s="2584"/>
      <c r="N173" s="2584"/>
      <c r="P173" s="2584"/>
      <c r="Q173" s="946"/>
    </row>
    <row r="174" spans="1:17">
      <c r="A174" s="2586"/>
      <c r="B174" s="2586"/>
      <c r="C174" s="2586"/>
      <c r="D174" s="2586"/>
      <c r="E174" s="2586"/>
      <c r="F174" s="2586"/>
      <c r="G174" s="2586"/>
      <c r="I174" s="924"/>
      <c r="J174" s="924"/>
      <c r="K174" s="2584"/>
      <c r="L174" s="2584"/>
      <c r="M174" s="2584"/>
      <c r="N174" s="2584"/>
      <c r="O174" s="2584"/>
      <c r="P174" s="2584"/>
      <c r="Q174" s="2584"/>
    </row>
    <row r="175" spans="1:17">
      <c r="A175" s="2586"/>
      <c r="B175" s="2586"/>
      <c r="C175" s="2586"/>
      <c r="D175" s="2586"/>
      <c r="E175" s="2586"/>
      <c r="F175" s="2586"/>
      <c r="G175" s="2586"/>
      <c r="I175" s="924"/>
      <c r="J175" s="924"/>
      <c r="K175" s="2584"/>
      <c r="L175" s="2584"/>
      <c r="M175" s="2584"/>
      <c r="N175" s="2584"/>
      <c r="O175" s="2584"/>
      <c r="P175" s="952"/>
      <c r="Q175" s="2584"/>
    </row>
    <row r="176" spans="1:17">
      <c r="A176" s="2586"/>
      <c r="B176" s="2586"/>
      <c r="C176" s="2586"/>
      <c r="D176" s="2586"/>
      <c r="E176" s="2586"/>
      <c r="F176" s="2586"/>
      <c r="G176" s="2586"/>
      <c r="I176" s="924"/>
      <c r="J176" s="924"/>
      <c r="K176" s="2584"/>
      <c r="L176" s="955"/>
      <c r="O176" s="2584"/>
      <c r="Q176" s="2584"/>
    </row>
    <row r="177" spans="1:15">
      <c r="A177" s="2586"/>
      <c r="B177" s="2586"/>
      <c r="C177" s="2586"/>
      <c r="D177" s="2586"/>
      <c r="E177" s="2586"/>
      <c r="F177" s="2586"/>
      <c r="G177" s="2586"/>
      <c r="I177" s="924"/>
      <c r="J177" s="924"/>
      <c r="K177" s="2584"/>
      <c r="L177" s="955"/>
      <c r="M177" s="2584"/>
      <c r="N177" s="933"/>
      <c r="O177" s="2584"/>
    </row>
    <row r="178" spans="1:15">
      <c r="A178" s="2586"/>
      <c r="B178" s="2586"/>
      <c r="C178" s="2586"/>
      <c r="D178" s="2586"/>
      <c r="E178" s="2586"/>
      <c r="F178" s="2586"/>
      <c r="G178" s="2586"/>
      <c r="I178" s="2584"/>
      <c r="J178" s="2584"/>
      <c r="K178" s="955"/>
      <c r="L178" s="2586"/>
      <c r="M178" s="2586"/>
      <c r="N178" s="2586"/>
    </row>
    <row r="179" spans="1:15">
      <c r="A179" s="2586"/>
      <c r="B179" s="2586"/>
      <c r="C179" s="2586"/>
      <c r="D179" s="2586"/>
      <c r="E179" s="2586"/>
      <c r="F179" s="2586"/>
      <c r="I179" s="2584"/>
      <c r="J179" s="2584"/>
      <c r="K179" s="956"/>
      <c r="L179" s="2586"/>
      <c r="M179" s="2586"/>
      <c r="N179" s="2586"/>
    </row>
    <row r="180" spans="1:15">
      <c r="A180" s="2586"/>
      <c r="I180" s="2584"/>
      <c r="J180" s="2584"/>
      <c r="K180" s="2584"/>
      <c r="L180" s="2586"/>
      <c r="M180" s="2586"/>
      <c r="N180" s="2586"/>
    </row>
    <row r="181" spans="1:15">
      <c r="A181" s="2586"/>
      <c r="I181" s="2584"/>
      <c r="J181" s="2584"/>
      <c r="K181" s="2584"/>
      <c r="L181" s="2586"/>
      <c r="M181" s="2586"/>
      <c r="N181" s="2586"/>
    </row>
    <row r="182" spans="1:15">
      <c r="A182" s="2586"/>
      <c r="G182" s="2586"/>
      <c r="I182" s="2584"/>
      <c r="J182" s="2584"/>
      <c r="L182" s="2586"/>
      <c r="M182" s="2586"/>
      <c r="N182" s="2586"/>
    </row>
    <row r="183" spans="1:15">
      <c r="B183" s="2586"/>
      <c r="C183" s="2586"/>
      <c r="D183" s="2586"/>
      <c r="E183" s="2586"/>
      <c r="F183" s="2586"/>
      <c r="G183" s="2586"/>
    </row>
    <row r="184" spans="1:15">
      <c r="B184" s="2586"/>
      <c r="C184" s="2586"/>
      <c r="D184" s="2586"/>
      <c r="E184" s="2586"/>
      <c r="F184" s="2586"/>
      <c r="G184" s="2586"/>
    </row>
    <row r="185" spans="1:15">
      <c r="B185" s="2586"/>
      <c r="C185" s="2586"/>
      <c r="D185" s="2586"/>
      <c r="E185" s="2586"/>
      <c r="F185" s="2586"/>
      <c r="G185" s="2586"/>
    </row>
    <row r="186" spans="1:15">
      <c r="A186" s="2586"/>
      <c r="B186" s="2586"/>
      <c r="C186" s="2586"/>
      <c r="D186" s="2586"/>
      <c r="E186" s="2586"/>
      <c r="F186" s="2586"/>
      <c r="J186" s="2586"/>
      <c r="K186" s="2586"/>
      <c r="L186" s="2586"/>
      <c r="M186" s="2586"/>
      <c r="N186" s="2586"/>
    </row>
    <row r="187" spans="1:15">
      <c r="A187" s="2586"/>
      <c r="J187" s="2586"/>
      <c r="K187" s="2586"/>
      <c r="L187" s="2586"/>
      <c r="M187" s="2586"/>
      <c r="N187" s="2586"/>
    </row>
    <row r="188" spans="1:15">
      <c r="A188" s="2586"/>
      <c r="I188" s="2586"/>
      <c r="J188" s="2586"/>
      <c r="K188" s="2586"/>
      <c r="L188" s="2586"/>
      <c r="M188" s="2586"/>
      <c r="N188" s="2586"/>
    </row>
    <row r="189" spans="1:15">
      <c r="A189" s="2586"/>
      <c r="I189" s="2586"/>
      <c r="J189" s="2586"/>
      <c r="K189" s="2586"/>
      <c r="L189" s="2586"/>
      <c r="M189" s="2586"/>
      <c r="N189" s="2586"/>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rowBreaks count="1" manualBreakCount="1">
    <brk id="61" max="16" man="1"/>
  </rowBreaks>
  <ignoredErrors>
    <ignoredError sqref="A6 A22 H23 H44"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P62"/>
  <sheetViews>
    <sheetView showGridLines="0" zoomScale="90" zoomScaleNormal="90" workbookViewId="0"/>
  </sheetViews>
  <sheetFormatPr defaultColWidth="8.88671875" defaultRowHeight="15"/>
  <cols>
    <col min="1" max="1" width="1.6640625" style="2055" customWidth="1"/>
    <col min="2" max="2" width="45.109375" style="2055" customWidth="1"/>
    <col min="3" max="3" width="4.5546875" style="2056" customWidth="1"/>
    <col min="4" max="4" width="19" style="2057" customWidth="1"/>
    <col min="5" max="5" width="2.44140625" style="2057" customWidth="1"/>
    <col min="6" max="6" width="2.21875" style="2057" customWidth="1"/>
    <col min="7" max="7" width="19" style="2057" customWidth="1"/>
    <col min="8" max="9" width="8.88671875" style="2056"/>
    <col min="10" max="10" width="24.21875" style="2056" customWidth="1"/>
    <col min="11" max="12" width="8.88671875" style="2056"/>
    <col min="13" max="16384" width="8.88671875" style="2055"/>
  </cols>
  <sheetData>
    <row r="1" spans="1:37">
      <c r="B1" s="1052" t="s">
        <v>1064</v>
      </c>
    </row>
    <row r="3" spans="1:37" ht="18">
      <c r="G3" s="2211" t="s">
        <v>579</v>
      </c>
    </row>
    <row r="4" spans="1:37" ht="15.75">
      <c r="G4" s="2212"/>
    </row>
    <row r="5" spans="1:37" s="2060" customFormat="1" ht="18" customHeight="1">
      <c r="A5" s="2058"/>
      <c r="B5" s="3266" t="s">
        <v>504</v>
      </c>
      <c r="C5" s="2213"/>
      <c r="D5" s="2213"/>
      <c r="E5" s="2213"/>
      <c r="F5" s="2213"/>
      <c r="G5" s="2213"/>
      <c r="H5" s="2059"/>
      <c r="I5" s="2059"/>
      <c r="J5" s="2059"/>
      <c r="K5" s="2059"/>
      <c r="L5" s="2059"/>
    </row>
    <row r="6" spans="1:37" s="2060" customFormat="1" ht="18" customHeight="1">
      <c r="A6" s="2058"/>
      <c r="B6" s="3266" t="s">
        <v>1090</v>
      </c>
      <c r="C6" s="2061"/>
      <c r="D6" s="2061"/>
      <c r="E6" s="2061"/>
      <c r="F6" s="2061"/>
      <c r="G6" s="2079"/>
      <c r="H6" s="2059"/>
      <c r="I6" s="2059"/>
      <c r="J6" s="2059"/>
      <c r="K6" s="2059"/>
      <c r="L6" s="2059"/>
    </row>
    <row r="7" spans="1:37" s="2060" customFormat="1" ht="18" customHeight="1">
      <c r="A7" s="2058"/>
      <c r="B7" s="3266" t="s">
        <v>1473</v>
      </c>
      <c r="C7" s="3267"/>
      <c r="D7" s="3267"/>
      <c r="E7" s="3267"/>
      <c r="F7" s="3267"/>
      <c r="G7" s="2213"/>
      <c r="H7" s="2059"/>
      <c r="I7" s="2059"/>
      <c r="J7" s="2059"/>
      <c r="K7" s="2059"/>
      <c r="L7" s="2059"/>
    </row>
    <row r="8" spans="1:37" s="2060" customFormat="1" ht="18" customHeight="1">
      <c r="A8" s="2058"/>
      <c r="B8" s="3268"/>
      <c r="C8" s="3269"/>
      <c r="D8" s="3269"/>
      <c r="E8" s="3269"/>
      <c r="F8" s="3269"/>
      <c r="G8" s="2214"/>
      <c r="H8" s="2062"/>
      <c r="I8" s="2059"/>
      <c r="J8" s="2059"/>
      <c r="K8" s="2059"/>
      <c r="L8" s="2059"/>
    </row>
    <row r="9" spans="1:37" s="2060" customFormat="1" ht="18" customHeight="1">
      <c r="A9" s="2058"/>
      <c r="B9" s="3268"/>
      <c r="C9" s="2063"/>
      <c r="D9" s="2063"/>
      <c r="E9" s="2063"/>
      <c r="F9" s="2063"/>
      <c r="G9" s="2063"/>
      <c r="H9" s="2062"/>
      <c r="I9" s="2059"/>
      <c r="J9" s="2059"/>
      <c r="K9" s="2059"/>
      <c r="L9" s="2059"/>
    </row>
    <row r="10" spans="1:37" s="2069" customFormat="1" ht="15.75">
      <c r="A10" s="2064"/>
      <c r="B10" s="2064"/>
      <c r="C10" s="2065"/>
      <c r="D10" s="2706">
        <v>2018</v>
      </c>
      <c r="E10" s="2066"/>
      <c r="F10" s="2066"/>
      <c r="G10" s="2067"/>
      <c r="H10" s="2068"/>
      <c r="I10" s="2068"/>
      <c r="J10" s="2068"/>
      <c r="K10" s="2068"/>
      <c r="L10" s="2068"/>
    </row>
    <row r="11" spans="1:37" ht="15.75">
      <c r="A11" s="2070"/>
      <c r="B11" s="2070"/>
      <c r="C11" s="2071"/>
      <c r="D11" s="3273" t="s">
        <v>126</v>
      </c>
      <c r="E11" s="2583"/>
      <c r="F11" s="2583"/>
      <c r="G11" s="2072" t="s">
        <v>1474</v>
      </c>
    </row>
    <row r="12" spans="1:37">
      <c r="A12" s="2070"/>
      <c r="B12" s="2070"/>
      <c r="C12" s="2071"/>
      <c r="D12" s="2071"/>
      <c r="E12" s="2073"/>
      <c r="F12" s="2071"/>
      <c r="G12" s="3133"/>
    </row>
    <row r="13" spans="1:37" s="2069" customFormat="1" ht="15.75">
      <c r="A13" s="2074"/>
      <c r="B13" s="2074" t="s">
        <v>479</v>
      </c>
      <c r="C13" s="2065"/>
      <c r="D13" s="2075">
        <v>1881.16</v>
      </c>
      <c r="E13" s="3274"/>
      <c r="F13" s="2075"/>
      <c r="G13" s="2076">
        <f>+D13</f>
        <v>1881.16</v>
      </c>
      <c r="H13" s="2068"/>
      <c r="I13" s="2068"/>
      <c r="J13" s="2068"/>
      <c r="K13" s="2068"/>
      <c r="L13" s="2068"/>
      <c r="M13" s="2077"/>
      <c r="N13" s="2077"/>
      <c r="O13" s="2077"/>
      <c r="P13" s="2077"/>
      <c r="Q13" s="2077"/>
      <c r="R13" s="2077"/>
      <c r="S13" s="2077"/>
      <c r="T13" s="2077"/>
      <c r="U13" s="2077"/>
      <c r="V13" s="2077"/>
      <c r="W13" s="2077"/>
      <c r="X13" s="2078"/>
      <c r="Y13" s="2078"/>
      <c r="Z13" s="2078"/>
      <c r="AA13" s="2078"/>
      <c r="AB13" s="2078"/>
      <c r="AC13" s="2078"/>
      <c r="AD13" s="2078"/>
      <c r="AE13" s="2078"/>
      <c r="AF13" s="2078"/>
      <c r="AG13" s="2078"/>
      <c r="AH13" s="2078"/>
      <c r="AI13" s="2078"/>
      <c r="AJ13" s="2078"/>
      <c r="AK13" s="2078"/>
    </row>
    <row r="14" spans="1:37" s="2069" customFormat="1" ht="15.75">
      <c r="A14" s="2074"/>
      <c r="B14" s="2074"/>
      <c r="C14" s="2065"/>
      <c r="D14" s="2075"/>
      <c r="E14" s="3274"/>
      <c r="F14" s="2075"/>
      <c r="G14" s="2076"/>
      <c r="H14" s="2068"/>
      <c r="I14" s="2068"/>
      <c r="J14" s="2068"/>
      <c r="K14" s="2068"/>
      <c r="L14" s="2068"/>
      <c r="M14" s="2077"/>
      <c r="N14" s="2077"/>
      <c r="O14" s="2077"/>
      <c r="P14" s="2077"/>
      <c r="Q14" s="2077"/>
      <c r="R14" s="2077"/>
      <c r="S14" s="2077"/>
      <c r="T14" s="2077"/>
      <c r="U14" s="2077"/>
      <c r="V14" s="2077"/>
      <c r="W14" s="2077"/>
      <c r="X14" s="2078"/>
      <c r="Y14" s="2078"/>
      <c r="Z14" s="2078"/>
      <c r="AA14" s="2078"/>
      <c r="AB14" s="2078"/>
      <c r="AC14" s="2078"/>
      <c r="AD14" s="2078"/>
      <c r="AE14" s="2078"/>
      <c r="AF14" s="2078"/>
      <c r="AG14" s="2078"/>
      <c r="AH14" s="2078"/>
      <c r="AI14" s="2078"/>
      <c r="AJ14" s="2078"/>
      <c r="AK14" s="2078"/>
    </row>
    <row r="15" spans="1:37" ht="15.75">
      <c r="A15" s="2070"/>
      <c r="B15" s="2074" t="s">
        <v>14</v>
      </c>
      <c r="C15" s="2071"/>
      <c r="D15" s="2071"/>
      <c r="E15" s="3275"/>
      <c r="F15" s="2071"/>
      <c r="G15" s="2073"/>
    </row>
    <row r="16" spans="1:37">
      <c r="A16" s="2070"/>
      <c r="B16" s="2079" t="s">
        <v>585</v>
      </c>
      <c r="C16" s="2071"/>
      <c r="D16" s="2080">
        <v>2072.56</v>
      </c>
      <c r="E16" s="3276"/>
      <c r="F16" s="2080">
        <v>1788.93</v>
      </c>
      <c r="G16" s="2081">
        <f>ROUND(SUM(D16:D16),2)</f>
        <v>2072.56</v>
      </c>
    </row>
    <row r="17" spans="1:17" s="2069" customFormat="1" ht="15.75">
      <c r="A17" s="2074"/>
      <c r="B17" s="2074" t="s">
        <v>152</v>
      </c>
      <c r="C17" s="2065"/>
      <c r="D17" s="3134">
        <f>ROUND(SUM(D16:D16),2)</f>
        <v>2072.56</v>
      </c>
      <c r="E17" s="3277"/>
      <c r="F17" s="2082"/>
      <c r="G17" s="3134">
        <f>ROUND(SUM(G16:G16),2)</f>
        <v>2072.56</v>
      </c>
      <c r="H17" s="2068"/>
      <c r="I17" s="2068"/>
      <c r="J17" s="2068"/>
      <c r="K17" s="2068"/>
      <c r="L17" s="2068"/>
    </row>
    <row r="18" spans="1:17">
      <c r="A18" s="2070"/>
      <c r="B18" s="2070"/>
      <c r="C18" s="2071"/>
      <c r="D18" s="2080"/>
      <c r="E18" s="3276"/>
      <c r="F18" s="2080"/>
      <c r="G18" s="3135"/>
    </row>
    <row r="19" spans="1:17" ht="15.75">
      <c r="A19" s="2070"/>
      <c r="B19" s="2074" t="s">
        <v>1029</v>
      </c>
      <c r="C19" s="2071"/>
      <c r="D19" s="2080"/>
      <c r="E19" s="3276"/>
      <c r="F19" s="2080"/>
      <c r="G19" s="2081"/>
    </row>
    <row r="20" spans="1:17">
      <c r="A20" s="2070"/>
      <c r="B20" s="2079" t="s">
        <v>603</v>
      </c>
      <c r="C20" s="2071"/>
      <c r="D20" s="2080">
        <v>-63590872.439999998</v>
      </c>
      <c r="E20" s="3276"/>
      <c r="F20" s="2080">
        <v>-319857721</v>
      </c>
      <c r="G20" s="2081">
        <f>ROUND(SUM(D20:D20),2)</f>
        <v>-63590872.439999998</v>
      </c>
    </row>
    <row r="21" spans="1:17">
      <c r="A21" s="2070"/>
      <c r="B21" s="2079" t="s">
        <v>604</v>
      </c>
      <c r="C21" s="2071"/>
      <c r="D21" s="2080">
        <v>0</v>
      </c>
      <c r="E21" s="3276"/>
      <c r="F21" s="2080"/>
      <c r="G21" s="2081">
        <f>ROUND(SUM(D21:D21),2)</f>
        <v>0</v>
      </c>
    </row>
    <row r="22" spans="1:17">
      <c r="A22" s="2070"/>
      <c r="B22" s="2079" t="s">
        <v>605</v>
      </c>
      <c r="C22" s="2071"/>
      <c r="D22" s="2080">
        <v>0</v>
      </c>
      <c r="E22" s="3276"/>
      <c r="F22" s="2080">
        <v>-2944491.34</v>
      </c>
      <c r="G22" s="2081">
        <f>ROUND(SUM(D22:D22),2)</f>
        <v>0</v>
      </c>
    </row>
    <row r="23" spans="1:17" s="2069" customFormat="1" ht="15.75">
      <c r="A23" s="2074"/>
      <c r="B23" s="2083" t="s">
        <v>1049</v>
      </c>
      <c r="C23" s="2065"/>
      <c r="D23" s="3136">
        <f>ROUND(SUM(D19:D22),2)</f>
        <v>-63590872.439999998</v>
      </c>
      <c r="E23" s="3277"/>
      <c r="F23" s="2082"/>
      <c r="G23" s="3136">
        <f>ROUND(SUM(G19:G22),2)</f>
        <v>-63590872.439999998</v>
      </c>
      <c r="H23" s="2068"/>
      <c r="I23" s="2068"/>
      <c r="J23" s="2068"/>
      <c r="K23" s="2068"/>
      <c r="L23" s="2068"/>
    </row>
    <row r="24" spans="1:17">
      <c r="A24" s="2070"/>
      <c r="B24" s="2084"/>
      <c r="C24" s="2071"/>
      <c r="D24" s="3135"/>
      <c r="E24" s="3276"/>
      <c r="F24" s="2081"/>
      <c r="G24" s="3135"/>
    </row>
    <row r="25" spans="1:17" s="2069" customFormat="1" ht="15.75">
      <c r="A25" s="2074"/>
      <c r="B25" s="2074" t="s">
        <v>1334</v>
      </c>
      <c r="C25" s="2065"/>
      <c r="D25" s="2085">
        <f>ROUND(+D17+D23,2)</f>
        <v>-63588799.880000003</v>
      </c>
      <c r="E25" s="3279"/>
      <c r="F25" s="2085"/>
      <c r="G25" s="2085">
        <f>ROUND(+G17+G23,2)</f>
        <v>-63588799.880000003</v>
      </c>
      <c r="H25" s="2068"/>
      <c r="I25" s="2068"/>
      <c r="J25" s="2068"/>
      <c r="K25" s="2068"/>
      <c r="L25" s="2068"/>
    </row>
    <row r="26" spans="1:17">
      <c r="A26" s="2070"/>
      <c r="B26" s="2070"/>
      <c r="C26" s="2071"/>
      <c r="D26" s="3135"/>
      <c r="E26" s="3276"/>
      <c r="F26" s="2081"/>
      <c r="G26" s="3135"/>
      <c r="H26" s="2057"/>
      <c r="I26" s="2057"/>
      <c r="J26" s="2057"/>
      <c r="K26" s="2057"/>
      <c r="L26" s="2057"/>
      <c r="M26" s="2086"/>
      <c r="N26" s="2086"/>
      <c r="O26" s="2086"/>
      <c r="P26" s="2086"/>
      <c r="Q26" s="2086"/>
    </row>
    <row r="27" spans="1:17" ht="15.75">
      <c r="A27" s="2070"/>
      <c r="B27" s="2074" t="s">
        <v>46</v>
      </c>
      <c r="C27" s="2071"/>
      <c r="D27" s="2080"/>
      <c r="E27" s="3276"/>
      <c r="F27" s="2080"/>
      <c r="G27" s="2081"/>
      <c r="H27" s="2057"/>
      <c r="I27" s="2057"/>
      <c r="J27" s="2057"/>
      <c r="K27" s="2057"/>
      <c r="L27" s="2057"/>
      <c r="M27" s="2086"/>
      <c r="N27" s="2086"/>
      <c r="O27" s="2086"/>
      <c r="P27" s="2086"/>
      <c r="Q27" s="2086"/>
    </row>
    <row r="28" spans="1:17" ht="15.75">
      <c r="A28" s="2070"/>
      <c r="B28" s="2074" t="s">
        <v>968</v>
      </c>
      <c r="C28" s="2071"/>
      <c r="D28" s="2080"/>
      <c r="E28" s="3276"/>
      <c r="F28" s="2080"/>
      <c r="G28" s="2081"/>
      <c r="H28" s="2057"/>
      <c r="I28" s="2057"/>
      <c r="J28" s="2057"/>
      <c r="K28" s="2057"/>
      <c r="L28" s="2057"/>
      <c r="M28" s="2086"/>
      <c r="N28" s="2086"/>
      <c r="O28" s="2086"/>
      <c r="P28" s="2086"/>
      <c r="Q28" s="2086"/>
    </row>
    <row r="29" spans="1:17">
      <c r="A29" s="2070"/>
      <c r="B29" s="2079" t="s">
        <v>606</v>
      </c>
      <c r="C29" s="2071"/>
      <c r="D29" s="2080">
        <v>0</v>
      </c>
      <c r="E29" s="3276"/>
      <c r="F29" s="2080"/>
      <c r="G29" s="2081">
        <f>ROUND(SUM(D29:D29),2)</f>
        <v>0</v>
      </c>
      <c r="H29" s="2057"/>
      <c r="I29" s="2057"/>
      <c r="J29" s="2057"/>
      <c r="K29" s="2057"/>
      <c r="L29" s="2057"/>
      <c r="M29" s="2086"/>
      <c r="N29" s="2086"/>
      <c r="O29" s="2086"/>
      <c r="P29" s="2086"/>
      <c r="Q29" s="2086"/>
    </row>
    <row r="30" spans="1:17">
      <c r="A30" s="2070"/>
      <c r="B30" s="2079" t="s">
        <v>596</v>
      </c>
      <c r="C30" s="2071"/>
      <c r="D30" s="2080">
        <v>0</v>
      </c>
      <c r="E30" s="3276"/>
      <c r="F30" s="2080"/>
      <c r="G30" s="2081">
        <f>ROUND(SUM(D30:D30),2)</f>
        <v>0</v>
      </c>
      <c r="H30" s="2057"/>
      <c r="I30" s="2057"/>
      <c r="J30" s="2057"/>
      <c r="K30" s="2057"/>
      <c r="L30" s="2057"/>
      <c r="M30" s="2086"/>
      <c r="N30" s="2086"/>
      <c r="O30" s="2086"/>
      <c r="P30" s="2086"/>
      <c r="Q30" s="2086"/>
    </row>
    <row r="31" spans="1:17" ht="15.75">
      <c r="A31" s="2070"/>
      <c r="B31" s="2074" t="s">
        <v>593</v>
      </c>
      <c r="C31" s="2071"/>
      <c r="D31" s="2080"/>
      <c r="E31" s="3276"/>
      <c r="F31" s="2080"/>
      <c r="G31" s="2081"/>
      <c r="H31" s="2057"/>
      <c r="I31" s="2057"/>
      <c r="J31" s="2057"/>
      <c r="K31" s="2057"/>
      <c r="L31" s="2057"/>
      <c r="M31" s="2086"/>
      <c r="N31" s="2086"/>
      <c r="O31" s="2086"/>
      <c r="P31" s="2086"/>
      <c r="Q31" s="2086"/>
    </row>
    <row r="32" spans="1:17">
      <c r="A32" s="2070"/>
      <c r="B32" s="2079" t="s">
        <v>607</v>
      </c>
      <c r="C32" s="2071"/>
      <c r="D32" s="2087">
        <v>35345933.829999998</v>
      </c>
      <c r="E32" s="3280"/>
      <c r="F32" s="2080">
        <v>154417162.58000001</v>
      </c>
      <c r="G32" s="2081">
        <f>ROUND(SUM(D32:D32),2)</f>
        <v>35345933.829999998</v>
      </c>
      <c r="H32" s="2057"/>
      <c r="I32" s="2057"/>
      <c r="J32" s="2057"/>
      <c r="K32" s="2057"/>
      <c r="L32" s="2057"/>
      <c r="M32" s="2086"/>
      <c r="N32" s="2086"/>
      <c r="O32" s="2086"/>
      <c r="P32" s="2086"/>
      <c r="Q32" s="2086"/>
    </row>
    <row r="33" spans="1:17">
      <c r="A33" s="2070"/>
      <c r="B33" s="2079" t="s">
        <v>608</v>
      </c>
      <c r="C33" s="2071"/>
      <c r="D33" s="2087">
        <v>-7100995.2199999997</v>
      </c>
      <c r="E33" s="3280"/>
      <c r="F33" s="2080">
        <v>14987269.739999998</v>
      </c>
      <c r="G33" s="2081">
        <f>ROUND(SUM(D33:D33),2)</f>
        <v>-7100995.2199999997</v>
      </c>
      <c r="H33" s="2057"/>
      <c r="I33" s="2057"/>
      <c r="J33" s="2057"/>
      <c r="K33" s="2057"/>
      <c r="L33" s="2057"/>
      <c r="M33" s="2086"/>
      <c r="N33" s="2086"/>
      <c r="O33" s="2086"/>
      <c r="P33" s="2086"/>
      <c r="Q33" s="2086"/>
    </row>
    <row r="34" spans="1:17">
      <c r="A34" s="2070"/>
      <c r="B34" s="2079" t="s">
        <v>609</v>
      </c>
      <c r="C34" s="2071"/>
      <c r="D34" s="2087">
        <v>0</v>
      </c>
      <c r="E34" s="3280"/>
      <c r="F34" s="2080">
        <v>-1019382.54</v>
      </c>
      <c r="G34" s="2081">
        <f>ROUND(SUM(D34:D34),2)</f>
        <v>0</v>
      </c>
      <c r="H34" s="2057"/>
      <c r="I34" s="2057"/>
      <c r="J34" s="2057"/>
      <c r="K34" s="2057"/>
      <c r="L34" s="2057"/>
      <c r="M34" s="2086"/>
      <c r="N34" s="2086"/>
      <c r="O34" s="2086"/>
      <c r="P34" s="2086"/>
      <c r="Q34" s="2086"/>
    </row>
    <row r="35" spans="1:17">
      <c r="A35" s="2070"/>
      <c r="B35" s="2079" t="s">
        <v>610</v>
      </c>
      <c r="C35" s="2071"/>
      <c r="D35" s="2087">
        <v>35345933.829999998</v>
      </c>
      <c r="E35" s="3280"/>
      <c r="F35" s="2080">
        <v>154417162.56</v>
      </c>
      <c r="G35" s="2081">
        <f>ROUND(SUM(D35:D35),2)</f>
        <v>35345933.829999998</v>
      </c>
      <c r="H35" s="2057"/>
      <c r="I35" s="2057"/>
      <c r="J35" s="2057"/>
      <c r="K35" s="2057"/>
      <c r="L35" s="2057"/>
      <c r="M35" s="2086"/>
      <c r="N35" s="2086"/>
      <c r="O35" s="2086"/>
      <c r="P35" s="2086"/>
      <c r="Q35" s="2086"/>
    </row>
    <row r="36" spans="1:17">
      <c r="A36" s="2070"/>
      <c r="B36" s="2079" t="s">
        <v>605</v>
      </c>
      <c r="C36" s="2071"/>
      <c r="D36" s="3281">
        <v>0</v>
      </c>
      <c r="E36" s="3280"/>
      <c r="F36" s="2087"/>
      <c r="G36" s="2081">
        <f>ROUND(SUM(D36:D36),2)</f>
        <v>0</v>
      </c>
      <c r="H36" s="2057"/>
      <c r="I36" s="2057"/>
      <c r="J36" s="2057"/>
      <c r="K36" s="2057"/>
      <c r="L36" s="2057"/>
      <c r="M36" s="2086"/>
      <c r="N36" s="2086"/>
      <c r="O36" s="2086"/>
      <c r="P36" s="2086"/>
      <c r="Q36" s="2086"/>
    </row>
    <row r="37" spans="1:17" s="2069" customFormat="1" ht="15.75">
      <c r="A37" s="2074"/>
      <c r="B37" s="2074" t="s">
        <v>595</v>
      </c>
      <c r="C37" s="2065"/>
      <c r="D37" s="3137">
        <f>ROUND(SUM(D29:D36),2)</f>
        <v>63590872.439999998</v>
      </c>
      <c r="E37" s="3277"/>
      <c r="F37" s="2082"/>
      <c r="G37" s="3137">
        <f>ROUND(SUM(G29:G36),2)</f>
        <v>63590872.439999998</v>
      </c>
      <c r="H37" s="2088"/>
      <c r="I37" s="2088"/>
      <c r="J37" s="2088"/>
      <c r="K37" s="2088"/>
      <c r="L37" s="2088"/>
      <c r="M37" s="2089"/>
      <c r="N37" s="2089"/>
      <c r="O37" s="2089"/>
      <c r="P37" s="2089"/>
      <c r="Q37" s="2089"/>
    </row>
    <row r="38" spans="1:17">
      <c r="A38" s="2070"/>
      <c r="B38" s="2070"/>
      <c r="C38" s="2071"/>
      <c r="D38" s="2080"/>
      <c r="E38" s="3276"/>
      <c r="F38" s="2080"/>
      <c r="G38" s="2081"/>
      <c r="H38" s="2057"/>
      <c r="I38" s="2057"/>
      <c r="J38" s="2057"/>
      <c r="K38" s="2057"/>
      <c r="L38" s="2057"/>
      <c r="M38" s="2086"/>
      <c r="N38" s="2086"/>
      <c r="O38" s="2086"/>
      <c r="P38" s="2086"/>
      <c r="Q38" s="2086"/>
    </row>
    <row r="39" spans="1:17" ht="15.75">
      <c r="A39" s="2070"/>
      <c r="B39" s="2074" t="s">
        <v>1027</v>
      </c>
      <c r="C39" s="2071"/>
      <c r="D39" s="2080"/>
      <c r="E39" s="3276"/>
      <c r="F39" s="2080"/>
      <c r="G39" s="2081"/>
      <c r="H39" s="2057"/>
      <c r="I39" s="2057"/>
      <c r="J39" s="2057"/>
      <c r="K39" s="2057"/>
      <c r="L39" s="2057"/>
      <c r="M39" s="2086"/>
      <c r="N39" s="2086"/>
      <c r="O39" s="2086"/>
      <c r="P39" s="2086"/>
      <c r="Q39" s="2086"/>
    </row>
    <row r="40" spans="1:17">
      <c r="A40" s="2070"/>
      <c r="B40" s="2070" t="s">
        <v>606</v>
      </c>
      <c r="C40" s="2071"/>
      <c r="D40" s="2090">
        <v>0</v>
      </c>
      <c r="E40" s="3282"/>
      <c r="F40" s="2090"/>
      <c r="G40" s="2081">
        <f>ROUND(SUM(D40:D40),2)</f>
        <v>0</v>
      </c>
      <c r="H40" s="2057"/>
      <c r="I40" s="2057"/>
      <c r="J40" s="2057"/>
      <c r="K40" s="2057"/>
      <c r="L40" s="2057"/>
      <c r="M40" s="2086"/>
      <c r="N40" s="2086"/>
      <c r="O40" s="2086"/>
      <c r="P40" s="2086"/>
      <c r="Q40" s="2086"/>
    </row>
    <row r="41" spans="1:17">
      <c r="A41" s="2070"/>
      <c r="B41" s="2070" t="s">
        <v>596</v>
      </c>
      <c r="C41" s="2071"/>
      <c r="D41" s="2081">
        <v>0</v>
      </c>
      <c r="E41" s="3276"/>
      <c r="F41" s="2081"/>
      <c r="G41" s="2081">
        <f>ROUND(SUM(D41:D41),2)</f>
        <v>0</v>
      </c>
      <c r="H41" s="2057"/>
      <c r="I41" s="2057"/>
      <c r="J41" s="2057"/>
      <c r="K41" s="2057"/>
      <c r="L41" s="2057"/>
      <c r="M41" s="2086"/>
      <c r="N41" s="2086"/>
      <c r="O41" s="2086"/>
      <c r="P41" s="2086"/>
      <c r="Q41" s="2086"/>
    </row>
    <row r="42" spans="1:17" ht="15.75">
      <c r="A42" s="2070"/>
      <c r="B42" s="2074" t="s">
        <v>1028</v>
      </c>
      <c r="C42" s="2071"/>
      <c r="D42" s="2080"/>
      <c r="E42" s="3276"/>
      <c r="F42" s="2080"/>
      <c r="G42" s="2091"/>
      <c r="H42" s="2057"/>
      <c r="I42" s="2057"/>
      <c r="J42" s="2057"/>
      <c r="K42" s="2057"/>
      <c r="L42" s="2057"/>
      <c r="M42" s="2086"/>
      <c r="N42" s="2086"/>
      <c r="O42" s="2086"/>
      <c r="P42" s="2086"/>
      <c r="Q42" s="2086"/>
    </row>
    <row r="43" spans="1:17">
      <c r="A43" s="2070"/>
      <c r="B43" s="2079" t="s">
        <v>611</v>
      </c>
      <c r="C43" s="2071"/>
      <c r="D43" s="3283">
        <v>-1881.16</v>
      </c>
      <c r="E43" s="3276"/>
      <c r="F43" s="2080">
        <v>-2019</v>
      </c>
      <c r="G43" s="2081">
        <f>ROUND(SUM(D43:D43),2)</f>
        <v>-1881.16</v>
      </c>
      <c r="H43" s="2057"/>
      <c r="I43" s="2057"/>
      <c r="J43" s="2057"/>
      <c r="K43" s="2057"/>
      <c r="L43" s="2057"/>
      <c r="M43" s="2086"/>
      <c r="N43" s="2086"/>
      <c r="O43" s="2086"/>
      <c r="P43" s="2086"/>
      <c r="Q43" s="2086"/>
    </row>
    <row r="44" spans="1:17" s="2069" customFormat="1" ht="15.75">
      <c r="A44" s="2074"/>
      <c r="B44" s="2074" t="s">
        <v>597</v>
      </c>
      <c r="C44" s="2065"/>
      <c r="D44" s="3137">
        <f>ROUND(SUM(D40:D43),2)</f>
        <v>-1881.16</v>
      </c>
      <c r="E44" s="3277"/>
      <c r="F44" s="2082"/>
      <c r="G44" s="3137">
        <f>ROUND(SUM(G40:G43),2)</f>
        <v>-1881.16</v>
      </c>
      <c r="H44" s="2088"/>
      <c r="I44" s="2088"/>
      <c r="J44" s="2088"/>
      <c r="K44" s="2088"/>
      <c r="L44" s="2088"/>
      <c r="M44" s="2089"/>
      <c r="N44" s="2089"/>
      <c r="O44" s="2089"/>
      <c r="P44" s="2089"/>
      <c r="Q44" s="2089"/>
    </row>
    <row r="45" spans="1:17">
      <c r="A45" s="2070"/>
      <c r="B45" s="2070"/>
      <c r="C45" s="2071"/>
      <c r="D45" s="2080"/>
      <c r="E45" s="3276"/>
      <c r="F45" s="2080"/>
      <c r="G45" s="2081"/>
      <c r="H45" s="2057"/>
      <c r="I45" s="2057"/>
      <c r="J45" s="2057"/>
      <c r="K45" s="2057"/>
      <c r="L45" s="2057"/>
      <c r="M45" s="2086"/>
      <c r="N45" s="2086"/>
      <c r="O45" s="2086"/>
      <c r="P45" s="2086"/>
      <c r="Q45" s="2086"/>
    </row>
    <row r="46" spans="1:17" ht="15.75">
      <c r="A46" s="2070"/>
      <c r="B46" s="2074" t="s">
        <v>612</v>
      </c>
      <c r="C46" s="2071"/>
      <c r="D46" s="2080"/>
      <c r="E46" s="3276"/>
      <c r="F46" s="2080"/>
      <c r="G46" s="2081"/>
      <c r="H46" s="2057"/>
      <c r="I46" s="2057"/>
      <c r="J46" s="2057"/>
      <c r="K46" s="2057"/>
      <c r="L46" s="2057"/>
      <c r="M46" s="2086"/>
      <c r="N46" s="2086"/>
      <c r="O46" s="2086"/>
      <c r="P46" s="2086"/>
      <c r="Q46" s="2086"/>
    </row>
    <row r="47" spans="1:17" ht="15.75">
      <c r="A47" s="2070"/>
      <c r="B47" s="2074" t="s">
        <v>613</v>
      </c>
      <c r="C47" s="2071"/>
      <c r="D47" s="3278">
        <f>ROUND(+D25+D37+D44,2)</f>
        <v>191.4</v>
      </c>
      <c r="E47" s="3279"/>
      <c r="F47" s="2085"/>
      <c r="G47" s="3278">
        <f>ROUND(+G25+G37+G44,2)</f>
        <v>191.4</v>
      </c>
      <c r="H47" s="2057"/>
      <c r="I47" s="2057"/>
      <c r="J47" s="2057"/>
      <c r="K47" s="2057"/>
      <c r="L47" s="2057"/>
      <c r="M47" s="2086"/>
      <c r="N47" s="2086"/>
      <c r="O47" s="2086"/>
      <c r="P47" s="2086"/>
      <c r="Q47" s="2086"/>
    </row>
    <row r="48" spans="1:17">
      <c r="A48" s="2070"/>
      <c r="B48" s="2070"/>
      <c r="C48" s="2071"/>
      <c r="D48" s="2071"/>
      <c r="E48" s="3275"/>
      <c r="F48" s="2071"/>
      <c r="G48" s="2092"/>
      <c r="H48" s="2057"/>
      <c r="I48" s="2057"/>
      <c r="J48" s="2057"/>
      <c r="K48" s="2057"/>
      <c r="L48" s="2057"/>
      <c r="M48" s="2086"/>
      <c r="N48" s="2086"/>
      <c r="O48" s="2086"/>
      <c r="P48" s="2086"/>
      <c r="Q48" s="2086"/>
    </row>
    <row r="49" spans="1:42" s="2069" customFormat="1" ht="16.5" thickBot="1">
      <c r="A49" s="2074"/>
      <c r="B49" s="2074" t="s">
        <v>600</v>
      </c>
      <c r="C49" s="2093"/>
      <c r="D49" s="3138">
        <f>ROUND(D13+D47,2)</f>
        <v>2072.56</v>
      </c>
      <c r="E49" s="3284"/>
      <c r="F49" s="2094"/>
      <c r="G49" s="3138">
        <f>ROUND(G13+G47,2)</f>
        <v>2072.56</v>
      </c>
      <c r="H49" s="2068"/>
      <c r="I49" s="2068"/>
      <c r="J49" s="2068"/>
      <c r="K49" s="2068"/>
      <c r="L49" s="2068"/>
      <c r="M49" s="2095"/>
      <c r="N49" s="2095"/>
      <c r="O49" s="2095"/>
      <c r="P49" s="2095"/>
      <c r="Q49" s="2095"/>
      <c r="R49" s="2095"/>
      <c r="S49" s="2095"/>
      <c r="T49" s="2095"/>
      <c r="U49" s="2095"/>
      <c r="V49" s="2095"/>
      <c r="W49" s="2095"/>
      <c r="X49" s="2095"/>
      <c r="Y49" s="2095"/>
      <c r="Z49" s="2095"/>
      <c r="AA49" s="2095"/>
      <c r="AB49" s="2095"/>
      <c r="AC49" s="2095"/>
      <c r="AD49" s="2095"/>
      <c r="AE49" s="2095"/>
      <c r="AF49" s="2095"/>
      <c r="AG49" s="2095"/>
      <c r="AH49" s="2095"/>
      <c r="AI49" s="2095"/>
      <c r="AJ49" s="2095"/>
      <c r="AK49" s="2095"/>
      <c r="AL49" s="2095"/>
      <c r="AM49" s="2095"/>
      <c r="AN49" s="2095"/>
      <c r="AO49" s="2095"/>
      <c r="AP49" s="2095"/>
    </row>
    <row r="50" spans="1:42" ht="15.75" thickTop="1">
      <c r="A50" s="2070"/>
      <c r="B50" s="2070" t="s">
        <v>15</v>
      </c>
      <c r="C50" s="2071"/>
      <c r="D50" s="2071"/>
      <c r="E50" s="2071"/>
      <c r="F50" s="2071"/>
      <c r="G50" s="2071"/>
    </row>
    <row r="51" spans="1:42">
      <c r="B51" s="2096" t="s">
        <v>601</v>
      </c>
    </row>
    <row r="52" spans="1:42">
      <c r="B52" s="2097"/>
    </row>
    <row r="60" spans="1:42" ht="15.75">
      <c r="B60" s="2098"/>
      <c r="C60" s="2099"/>
      <c r="D60" s="2099"/>
      <c r="E60" s="2099"/>
      <c r="F60" s="2099"/>
    </row>
    <row r="62" spans="1:42" ht="15.75">
      <c r="B62" s="2100"/>
      <c r="C62" s="2068"/>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printOptions horizontalCentered="1" verticalCentered="1"/>
  <pageMargins left="0.24" right="0.24" top="0.5" bottom="0.5" header="0.18" footer="0.25"/>
  <pageSetup scale="67" firstPageNumber="51"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70" zoomScaleNormal="70" workbookViewId="0"/>
  </sheetViews>
  <sheetFormatPr defaultColWidth="8.88671875" defaultRowHeight="12.75"/>
  <cols>
    <col min="1" max="1" width="54.77734375" style="720" customWidth="1"/>
    <col min="2" max="2" width="1.6640625" style="720" customWidth="1"/>
    <col min="3" max="3" width="10.88671875" style="720" customWidth="1"/>
    <col min="4" max="4" width="1.6640625" style="720" customWidth="1"/>
    <col min="5" max="5" width="10.88671875" style="720" customWidth="1"/>
    <col min="6" max="6" width="1.6640625" style="720" customWidth="1"/>
    <col min="7" max="7" width="10.88671875" style="720" customWidth="1"/>
    <col min="8" max="8" width="1.6640625" style="720" customWidth="1"/>
    <col min="9" max="9" width="10.88671875" style="720" customWidth="1"/>
    <col min="10" max="10" width="1.6640625" style="720" customWidth="1"/>
    <col min="11" max="11" width="10.88671875" style="720" customWidth="1"/>
    <col min="12" max="12" width="1.6640625" style="720" customWidth="1"/>
    <col min="13" max="13" width="14.88671875" style="720" bestFit="1" customWidth="1"/>
    <col min="14" max="14" width="1.6640625" style="720" customWidth="1"/>
    <col min="15" max="15" width="10.88671875" style="720" customWidth="1"/>
    <col min="16" max="16" width="1.6640625" style="720" customWidth="1"/>
    <col min="17" max="17" width="13.5546875" style="720" bestFit="1" customWidth="1"/>
    <col min="18" max="18" width="1.6640625" style="720" customWidth="1"/>
    <col min="19" max="19" width="13.5546875" style="720" bestFit="1" customWidth="1"/>
    <col min="20" max="20" width="1.6640625" style="720" customWidth="1"/>
    <col min="21" max="21" width="11" style="720" customWidth="1"/>
    <col min="22" max="22" width="1.6640625" style="720" customWidth="1"/>
    <col min="23" max="23" width="10.88671875" style="720" customWidth="1"/>
    <col min="24" max="24" width="1.6640625" style="720" customWidth="1"/>
    <col min="25" max="25" width="10.88671875" style="720" customWidth="1"/>
    <col min="26" max="26" width="1.6640625" style="720" customWidth="1"/>
    <col min="27" max="27" width="14.21875" style="724" customWidth="1"/>
    <col min="28" max="28" width="3.6640625" style="720" customWidth="1"/>
    <col min="29" max="29" width="5.6640625" style="720" customWidth="1"/>
    <col min="30" max="30" width="10.33203125" style="720" customWidth="1"/>
    <col min="31" max="31" width="2.6640625" style="720" customWidth="1"/>
    <col min="32" max="16384" width="8.88671875" style="720"/>
  </cols>
  <sheetData>
    <row r="1" spans="1:29" ht="15">
      <c r="A1" s="1052" t="s">
        <v>1064</v>
      </c>
    </row>
    <row r="2" spans="1:29" ht="20.25">
      <c r="A2" s="717"/>
      <c r="B2" s="2048"/>
      <c r="C2" s="2048"/>
      <c r="D2" s="2048"/>
      <c r="E2" s="2048"/>
      <c r="F2" s="2048"/>
      <c r="G2" s="2048"/>
      <c r="H2" s="2048"/>
      <c r="I2" s="2048"/>
      <c r="J2" s="2048"/>
      <c r="K2" s="2048"/>
      <c r="L2" s="718"/>
      <c r="M2" s="718"/>
      <c r="N2" s="2048"/>
      <c r="O2" s="2048"/>
      <c r="P2" s="2048"/>
      <c r="Q2" s="2048"/>
      <c r="R2" s="2048"/>
      <c r="S2" s="2048"/>
      <c r="T2" s="2048"/>
      <c r="U2" s="2048"/>
      <c r="V2" s="2048"/>
      <c r="W2" s="2048"/>
      <c r="X2" s="2048"/>
      <c r="Y2" s="2048"/>
      <c r="Z2" s="2048"/>
      <c r="AA2" s="2049"/>
      <c r="AB2" s="2048"/>
      <c r="AC2" s="719"/>
    </row>
    <row r="3" spans="1:29" ht="15">
      <c r="A3"/>
      <c r="B3" s="1063"/>
      <c r="C3" s="1063"/>
      <c r="D3" s="1063"/>
      <c r="E3" s="1063"/>
      <c r="F3" s="1063"/>
      <c r="G3" s="1063"/>
      <c r="H3" s="1063"/>
      <c r="I3" s="1063"/>
      <c r="J3" s="1063"/>
      <c r="K3" s="1063"/>
      <c r="L3"/>
      <c r="M3" s="1063"/>
      <c r="N3" s="1063"/>
      <c r="O3" s="1063"/>
      <c r="P3" s="1063"/>
      <c r="Q3" s="1063"/>
      <c r="R3" s="1063"/>
      <c r="S3" s="1063"/>
      <c r="T3" s="1063"/>
      <c r="U3" s="1063"/>
      <c r="V3" s="1063"/>
      <c r="W3" s="1063"/>
      <c r="X3" s="1063"/>
      <c r="Y3" s="1063"/>
      <c r="Z3" s="1063"/>
      <c r="AA3" s="720"/>
      <c r="AB3" s="2048"/>
      <c r="AC3" s="719"/>
    </row>
    <row r="4" spans="1:29" ht="20.25">
      <c r="A4" s="1069" t="s">
        <v>0</v>
      </c>
      <c r="B4" s="1063"/>
      <c r="C4" s="1063"/>
      <c r="D4" s="1063"/>
      <c r="E4" s="1063"/>
      <c r="F4" s="1063"/>
      <c r="G4" s="1063"/>
      <c r="H4" s="1063"/>
      <c r="I4" s="1063"/>
      <c r="J4" s="1063"/>
      <c r="K4" s="1063"/>
      <c r="L4"/>
      <c r="M4" s="1063"/>
      <c r="N4" s="1063"/>
      <c r="O4" s="1063"/>
      <c r="P4" s="1063"/>
      <c r="Q4" s="1063"/>
      <c r="R4" s="1063"/>
      <c r="S4" s="1063"/>
      <c r="T4" s="1063"/>
      <c r="U4" s="1063"/>
      <c r="V4" s="1063"/>
      <c r="W4" s="1063"/>
      <c r="X4" s="1063"/>
      <c r="Y4" s="1063"/>
      <c r="Z4" s="1063"/>
      <c r="AA4" s="2050" t="s">
        <v>602</v>
      </c>
      <c r="AB4" s="2048"/>
      <c r="AC4" s="719"/>
    </row>
    <row r="5" spans="1:29" s="719" customFormat="1" ht="18">
      <c r="A5" s="1069" t="s">
        <v>615</v>
      </c>
      <c r="B5" s="1064"/>
      <c r="C5" s="1064"/>
      <c r="D5" s="1064"/>
      <c r="E5" s="1064"/>
      <c r="F5" s="1064"/>
      <c r="G5" s="1064"/>
      <c r="H5" s="1064"/>
      <c r="I5" s="1064"/>
      <c r="J5" s="1063"/>
      <c r="K5" s="1063"/>
      <c r="L5" s="1063"/>
      <c r="M5" s="1063"/>
      <c r="N5" s="1063"/>
      <c r="O5" s="1063"/>
      <c r="P5" s="1063"/>
      <c r="Q5" s="1063"/>
      <c r="R5" s="1063"/>
      <c r="S5" s="1063"/>
      <c r="T5" s="1063"/>
      <c r="U5" s="1063"/>
      <c r="V5" s="1063"/>
      <c r="W5" s="1063"/>
      <c r="X5" s="1063"/>
      <c r="Y5" s="1063"/>
      <c r="Z5" s="1063"/>
      <c r="AA5" s="1063"/>
      <c r="AB5" s="2048"/>
    </row>
    <row r="6" spans="1:29" s="719" customFormat="1" ht="18">
      <c r="A6" s="418" t="s">
        <v>1462</v>
      </c>
      <c r="B6" s="1064"/>
      <c r="C6" s="1064"/>
      <c r="D6" s="1064"/>
      <c r="E6" s="1064"/>
      <c r="F6" s="1064"/>
      <c r="G6" s="1064"/>
      <c r="H6" s="1064"/>
      <c r="I6" s="1064"/>
      <c r="J6" s="1063"/>
      <c r="K6" s="1063"/>
      <c r="L6" s="1063"/>
      <c r="M6" s="1063"/>
      <c r="N6" s="1063"/>
      <c r="O6" s="1063"/>
      <c r="P6" s="1063"/>
      <c r="Q6" s="1063"/>
      <c r="R6" s="1063"/>
      <c r="S6" s="1063"/>
      <c r="T6" s="1063"/>
      <c r="U6" s="1063"/>
      <c r="V6" s="1063"/>
      <c r="W6" s="1063"/>
      <c r="X6" s="1063"/>
      <c r="Y6" s="1063"/>
      <c r="Z6" s="1063"/>
      <c r="AA6" s="1063"/>
      <c r="AB6" s="2048"/>
    </row>
    <row r="7" spans="1:29" s="719" customFormat="1" ht="18">
      <c r="A7" s="1069" t="s">
        <v>961</v>
      </c>
      <c r="B7" s="1065"/>
      <c r="C7" s="1065"/>
      <c r="D7" s="1065"/>
      <c r="E7" s="1065"/>
      <c r="F7" s="1065"/>
      <c r="G7" s="1065"/>
      <c r="H7" s="1065"/>
      <c r="I7" s="1065"/>
      <c r="J7"/>
      <c r="K7"/>
      <c r="L7"/>
      <c r="M7"/>
      <c r="N7"/>
      <c r="O7"/>
      <c r="P7"/>
      <c r="Q7"/>
      <c r="R7" s="1063"/>
      <c r="S7" s="1063"/>
      <c r="T7" s="1063"/>
      <c r="U7" s="1063"/>
      <c r="V7" s="1063"/>
      <c r="W7" s="1063"/>
      <c r="X7" s="1063"/>
      <c r="Y7" s="1063"/>
      <c r="Z7" s="1063"/>
      <c r="AA7"/>
      <c r="AB7" s="2048"/>
    </row>
    <row r="8" spans="1:29" s="719" customFormat="1" ht="15.75">
      <c r="A8" s="1066"/>
      <c r="B8" s="1065"/>
      <c r="C8" s="1328"/>
      <c r="D8" s="1328"/>
      <c r="E8" s="1328"/>
      <c r="F8" s="1328"/>
      <c r="G8" s="1328"/>
      <c r="H8" s="1328"/>
      <c r="I8" s="1328"/>
      <c r="J8" s="1127"/>
      <c r="K8" s="1127"/>
      <c r="L8" s="1127"/>
      <c r="M8" s="1127"/>
      <c r="N8" s="1127"/>
      <c r="O8" s="1127"/>
      <c r="P8" s="1127"/>
      <c r="Q8" s="1127"/>
      <c r="R8" s="1127"/>
      <c r="S8" s="1127"/>
      <c r="T8" s="1127"/>
      <c r="U8" s="1127"/>
      <c r="V8" s="1127"/>
      <c r="W8" s="1127"/>
      <c r="X8" s="1127"/>
      <c r="Y8" s="1127"/>
      <c r="Z8" s="1127"/>
      <c r="AA8" s="1127"/>
      <c r="AB8" s="2048"/>
    </row>
    <row r="9" spans="1:29" s="719" customFormat="1" ht="15.75">
      <c r="A9" s="1063"/>
      <c r="B9" s="1063"/>
      <c r="C9" s="1127"/>
      <c r="D9" s="1127"/>
      <c r="E9" s="1127"/>
      <c r="F9" s="1127"/>
      <c r="G9" s="1127"/>
      <c r="H9" s="1127"/>
      <c r="I9" s="1127"/>
      <c r="J9" s="1127"/>
      <c r="K9" s="1127"/>
      <c r="L9" s="1127"/>
      <c r="M9" s="1127"/>
      <c r="N9" s="1127"/>
      <c r="O9" s="1127"/>
      <c r="P9" s="1127"/>
      <c r="Q9" s="1127"/>
      <c r="R9" s="1127"/>
      <c r="S9" s="1127"/>
      <c r="T9" s="1127"/>
      <c r="U9" s="1127"/>
      <c r="V9" s="1127"/>
      <c r="W9" s="1127"/>
      <c r="X9" s="1127"/>
      <c r="Y9" s="1127"/>
      <c r="Z9" s="1127"/>
      <c r="AA9" s="1127"/>
      <c r="AB9" s="2048"/>
    </row>
    <row r="10" spans="1:29" s="719" customFormat="1" ht="18">
      <c r="A10" s="1063"/>
      <c r="B10" s="1126"/>
      <c r="C10" s="1329">
        <v>2018</v>
      </c>
      <c r="D10" s="1329">
        <v>2016</v>
      </c>
      <c r="E10" s="1329">
        <v>2018</v>
      </c>
      <c r="F10" s="1329">
        <v>2016</v>
      </c>
      <c r="G10" s="1329">
        <v>2018</v>
      </c>
      <c r="H10" s="1329">
        <v>2016</v>
      </c>
      <c r="I10" s="1329">
        <v>2018</v>
      </c>
      <c r="J10" s="1329">
        <v>2016</v>
      </c>
      <c r="K10" s="1329">
        <v>2018</v>
      </c>
      <c r="L10" s="1329">
        <v>2016</v>
      </c>
      <c r="M10" s="1329">
        <v>2018</v>
      </c>
      <c r="N10" s="1329">
        <v>2016</v>
      </c>
      <c r="O10" s="1329">
        <v>2018</v>
      </c>
      <c r="P10" s="1329">
        <v>2016</v>
      </c>
      <c r="Q10" s="1329">
        <v>2018</v>
      </c>
      <c r="R10" s="1329">
        <v>2016</v>
      </c>
      <c r="S10" s="1329">
        <v>2018</v>
      </c>
      <c r="T10" s="1329"/>
      <c r="U10" s="1329">
        <v>2019</v>
      </c>
      <c r="V10" s="1329"/>
      <c r="W10" s="1329">
        <v>2019</v>
      </c>
      <c r="X10" s="1329"/>
      <c r="Y10" s="1329">
        <v>2019</v>
      </c>
      <c r="Z10" s="1069"/>
      <c r="AA10" s="1330" t="s">
        <v>1515</v>
      </c>
      <c r="AB10" s="2051"/>
    </row>
    <row r="11" spans="1:29" s="719" customFormat="1" ht="18">
      <c r="A11" s="1063"/>
      <c r="B11" s="1126"/>
      <c r="C11" s="3534" t="s">
        <v>126</v>
      </c>
      <c r="D11" s="1330"/>
      <c r="E11" s="3534" t="s">
        <v>127</v>
      </c>
      <c r="F11" s="1330"/>
      <c r="G11" s="3534" t="s">
        <v>128</v>
      </c>
      <c r="H11" s="1330"/>
      <c r="I11" s="3534" t="s">
        <v>129</v>
      </c>
      <c r="J11" s="1330"/>
      <c r="K11" s="3534" t="s">
        <v>130</v>
      </c>
      <c r="L11" s="1330"/>
      <c r="M11" s="3534" t="s">
        <v>145</v>
      </c>
      <c r="N11" s="1330"/>
      <c r="O11" s="3534" t="s">
        <v>146</v>
      </c>
      <c r="P11" s="1330"/>
      <c r="Q11" s="3534" t="s">
        <v>133</v>
      </c>
      <c r="R11" s="1330"/>
      <c r="S11" s="3534" t="s">
        <v>134</v>
      </c>
      <c r="T11" s="1330"/>
      <c r="U11" s="3534" t="s">
        <v>135</v>
      </c>
      <c r="V11" s="1330"/>
      <c r="W11" s="3534" t="s">
        <v>136</v>
      </c>
      <c r="X11" s="1330"/>
      <c r="Y11" s="3534" t="s">
        <v>188</v>
      </c>
      <c r="Z11" s="1069"/>
      <c r="AA11" s="3534" t="s">
        <v>616</v>
      </c>
      <c r="AB11" s="2048"/>
    </row>
    <row r="12" spans="1:29" s="719" customFormat="1" ht="18">
      <c r="A12"/>
      <c r="B12" s="1126"/>
      <c r="C12" s="1126"/>
      <c r="D12" s="1126"/>
      <c r="E12" s="1126"/>
      <c r="F12" s="1126"/>
      <c r="G12" s="1126"/>
      <c r="H12" s="1126"/>
      <c r="I12" s="1126"/>
      <c r="J12" s="1126"/>
      <c r="K12" s="1126"/>
      <c r="L12" s="1126"/>
      <c r="M12" s="1126"/>
      <c r="N12" s="1126"/>
      <c r="O12" s="1126"/>
      <c r="P12" s="1126"/>
      <c r="Q12" s="1126"/>
      <c r="R12" s="1126"/>
      <c r="S12" s="1126"/>
      <c r="T12" s="1126"/>
      <c r="U12" s="1126"/>
      <c r="V12" s="1126"/>
      <c r="W12" s="1126"/>
      <c r="X12" s="1126"/>
      <c r="Y12" s="1126"/>
      <c r="Z12" s="1126"/>
      <c r="AA12" s="1126"/>
      <c r="AB12" s="3127"/>
      <c r="AC12" s="3128"/>
    </row>
    <row r="13" spans="1:29" s="721" customFormat="1" ht="18">
      <c r="A13" s="1127" t="s">
        <v>617</v>
      </c>
      <c r="B13" s="1126"/>
      <c r="C13" s="1126"/>
      <c r="D13" s="1126"/>
      <c r="E13" s="1126"/>
      <c r="F13" s="1126"/>
      <c r="G13" s="1126"/>
      <c r="H13" s="1126"/>
      <c r="I13" s="1126"/>
      <c r="J13" s="1126"/>
      <c r="K13" s="1126"/>
      <c r="L13" s="1126"/>
      <c r="M13" s="1126"/>
      <c r="N13" s="1126"/>
      <c r="O13" s="1126"/>
      <c r="P13" s="1126"/>
      <c r="Q13" s="1126"/>
      <c r="R13" s="1126"/>
      <c r="S13" s="1126"/>
      <c r="T13" s="1126"/>
      <c r="U13" s="1126"/>
      <c r="V13" s="1126"/>
      <c r="W13" s="1126"/>
      <c r="X13" s="1126"/>
      <c r="Y13" s="1126"/>
      <c r="Z13" s="1126"/>
      <c r="AA13" s="1126"/>
      <c r="AB13" s="3127"/>
      <c r="AC13" s="3129"/>
    </row>
    <row r="14" spans="1:29" s="721" customFormat="1" ht="18">
      <c r="A14" s="1063" t="s">
        <v>618</v>
      </c>
      <c r="B14" s="1126"/>
      <c r="C14" s="1358">
        <v>0</v>
      </c>
      <c r="D14" s="1358"/>
      <c r="E14" s="1358">
        <v>0</v>
      </c>
      <c r="F14" s="1358"/>
      <c r="G14" s="3571">
        <v>0</v>
      </c>
      <c r="H14" s="1358"/>
      <c r="I14" s="3571">
        <v>0</v>
      </c>
      <c r="J14" s="1359"/>
      <c r="K14" s="3571">
        <v>0</v>
      </c>
      <c r="L14" s="1358"/>
      <c r="M14" s="3571">
        <v>0</v>
      </c>
      <c r="N14" s="1359"/>
      <c r="O14" s="3571">
        <v>0</v>
      </c>
      <c r="P14" s="1359"/>
      <c r="Q14" s="3571">
        <v>0</v>
      </c>
      <c r="R14" s="1359"/>
      <c r="S14" s="3571">
        <v>0</v>
      </c>
      <c r="T14" s="1359"/>
      <c r="U14" s="3571">
        <v>0</v>
      </c>
      <c r="V14" s="1359" t="s">
        <v>1401</v>
      </c>
      <c r="W14" s="3571">
        <v>0</v>
      </c>
      <c r="X14" s="1359"/>
      <c r="Y14" s="3571">
        <v>0</v>
      </c>
      <c r="Z14" s="1126"/>
      <c r="AA14" s="3721">
        <f>ROUND(SUM(C14:Z14),0)</f>
        <v>0</v>
      </c>
      <c r="AB14" s="3127"/>
      <c r="AC14" s="3129"/>
    </row>
    <row r="15" spans="1:29" s="721" customFormat="1" ht="18">
      <c r="A15" s="1063" t="s">
        <v>619</v>
      </c>
      <c r="B15" s="1126"/>
      <c r="C15" s="1360">
        <v>1178</v>
      </c>
      <c r="D15" s="1361"/>
      <c r="E15" s="1361">
        <v>0</v>
      </c>
      <c r="F15" s="1361"/>
      <c r="G15" s="1364">
        <v>0</v>
      </c>
      <c r="H15" s="1361"/>
      <c r="I15" s="1364">
        <v>0</v>
      </c>
      <c r="J15" s="1362"/>
      <c r="K15" s="1364">
        <v>0</v>
      </c>
      <c r="L15" s="1361"/>
      <c r="M15" s="1364">
        <v>0</v>
      </c>
      <c r="N15" s="1362"/>
      <c r="O15" s="1364">
        <v>0</v>
      </c>
      <c r="P15" s="1362"/>
      <c r="Q15" s="1364">
        <v>0</v>
      </c>
      <c r="R15" s="1362"/>
      <c r="S15" s="1364">
        <v>0</v>
      </c>
      <c r="T15" s="1362"/>
      <c r="U15" s="1364">
        <v>0</v>
      </c>
      <c r="V15" s="1362"/>
      <c r="W15" s="1364">
        <v>0</v>
      </c>
      <c r="X15" s="1362"/>
      <c r="Y15" s="1364">
        <v>0</v>
      </c>
      <c r="Z15" s="1126"/>
      <c r="AA15" s="2367">
        <f t="shared" ref="AA15:AA29" si="0">ROUND(SUM(C15:Z15),0)</f>
        <v>1178</v>
      </c>
      <c r="AB15" s="3127"/>
      <c r="AC15" s="3129"/>
    </row>
    <row r="16" spans="1:29" s="721" customFormat="1" ht="18">
      <c r="A16" s="1063" t="s">
        <v>620</v>
      </c>
      <c r="B16" s="1126"/>
      <c r="C16" s="1360">
        <v>0</v>
      </c>
      <c r="D16" s="1361"/>
      <c r="E16" s="1361">
        <v>0</v>
      </c>
      <c r="F16" s="1361"/>
      <c r="G16" s="1364">
        <v>0</v>
      </c>
      <c r="H16" s="1361"/>
      <c r="I16" s="1364">
        <v>0</v>
      </c>
      <c r="J16" s="1362"/>
      <c r="K16" s="1364">
        <v>0</v>
      </c>
      <c r="L16" s="1361"/>
      <c r="M16" s="1364">
        <v>0</v>
      </c>
      <c r="N16" s="1362"/>
      <c r="O16" s="1364">
        <v>0</v>
      </c>
      <c r="P16" s="1362"/>
      <c r="Q16" s="1364">
        <v>0</v>
      </c>
      <c r="R16" s="1362"/>
      <c r="S16" s="1364">
        <v>0</v>
      </c>
      <c r="T16" s="1362"/>
      <c r="U16" s="1364">
        <v>0</v>
      </c>
      <c r="V16" s="1362"/>
      <c r="W16" s="1364">
        <v>0</v>
      </c>
      <c r="X16" s="1362"/>
      <c r="Y16" s="1364">
        <v>0</v>
      </c>
      <c r="Z16" s="1126"/>
      <c r="AA16" s="2367">
        <f t="shared" si="0"/>
        <v>0</v>
      </c>
      <c r="AB16" s="2052"/>
      <c r="AC16" s="3129"/>
    </row>
    <row r="17" spans="1:29" s="721" customFormat="1" ht="18">
      <c r="A17" s="1063" t="s">
        <v>1098</v>
      </c>
      <c r="B17" s="1126"/>
      <c r="C17" s="1364">
        <v>0</v>
      </c>
      <c r="D17" s="1361"/>
      <c r="E17" s="1363">
        <v>0</v>
      </c>
      <c r="F17" s="1361"/>
      <c r="G17" s="1363">
        <v>0</v>
      </c>
      <c r="H17" s="1361"/>
      <c r="I17" s="1363">
        <v>0</v>
      </c>
      <c r="J17" s="1362"/>
      <c r="K17" s="1363">
        <v>0</v>
      </c>
      <c r="L17" s="1361"/>
      <c r="M17" s="1363">
        <v>0</v>
      </c>
      <c r="N17" s="1362"/>
      <c r="O17" s="1363">
        <v>0</v>
      </c>
      <c r="P17" s="1362"/>
      <c r="Q17" s="1363">
        <v>0</v>
      </c>
      <c r="R17" s="1362"/>
      <c r="S17" s="1363">
        <v>0</v>
      </c>
      <c r="T17" s="1362"/>
      <c r="U17" s="1363">
        <v>0</v>
      </c>
      <c r="V17" s="1362"/>
      <c r="W17" s="1363">
        <v>0</v>
      </c>
      <c r="X17" s="1362"/>
      <c r="Y17" s="1363">
        <v>0</v>
      </c>
      <c r="Z17" s="1126"/>
      <c r="AA17" s="2367">
        <f t="shared" si="0"/>
        <v>0</v>
      </c>
      <c r="AB17" s="2052"/>
      <c r="AC17" s="3129"/>
    </row>
    <row r="18" spans="1:29" s="721" customFormat="1" ht="18">
      <c r="A18" s="1063" t="s">
        <v>621</v>
      </c>
      <c r="B18" s="1126"/>
      <c r="C18" s="1361"/>
      <c r="D18" s="1361"/>
      <c r="E18" s="1365"/>
      <c r="F18" s="1361"/>
      <c r="G18" s="1365"/>
      <c r="H18" s="1361"/>
      <c r="I18" s="1365"/>
      <c r="J18" s="1362"/>
      <c r="K18" s="1365"/>
      <c r="L18" s="1361"/>
      <c r="M18" s="1365"/>
      <c r="N18" s="1362"/>
      <c r="O18" s="1365"/>
      <c r="P18" s="1362"/>
      <c r="Q18" s="1365"/>
      <c r="R18" s="1362"/>
      <c r="S18" s="1365"/>
      <c r="T18" s="1362"/>
      <c r="U18" s="1365"/>
      <c r="V18" s="1362"/>
      <c r="W18" s="1365"/>
      <c r="X18" s="1362"/>
      <c r="Y18" s="1365"/>
      <c r="Z18" s="1126"/>
      <c r="AA18" s="2367"/>
      <c r="AB18" s="2052"/>
      <c r="AC18" s="3129"/>
    </row>
    <row r="19" spans="1:29" s="721" customFormat="1" ht="18">
      <c r="A19" s="1063" t="s">
        <v>1106</v>
      </c>
      <c r="B19" s="1126"/>
      <c r="C19" s="1360">
        <v>860</v>
      </c>
      <c r="D19" s="1361"/>
      <c r="E19" s="1361">
        <v>0</v>
      </c>
      <c r="F19" s="1361"/>
      <c r="G19" s="1364">
        <v>0</v>
      </c>
      <c r="H19" s="1361"/>
      <c r="I19" s="1364">
        <v>0</v>
      </c>
      <c r="J19" s="1362"/>
      <c r="K19" s="1364">
        <v>0</v>
      </c>
      <c r="L19" s="1361"/>
      <c r="M19" s="1364">
        <v>0</v>
      </c>
      <c r="N19" s="1362"/>
      <c r="O19" s="1364">
        <v>0</v>
      </c>
      <c r="P19" s="1362"/>
      <c r="Q19" s="1364">
        <v>0</v>
      </c>
      <c r="R19" s="1362"/>
      <c r="S19" s="1364">
        <v>0</v>
      </c>
      <c r="T19" s="1362"/>
      <c r="U19" s="1364">
        <v>0</v>
      </c>
      <c r="V19" s="1362"/>
      <c r="W19" s="1364">
        <v>0</v>
      </c>
      <c r="X19" s="1362"/>
      <c r="Y19" s="1364">
        <v>0</v>
      </c>
      <c r="Z19" s="1126"/>
      <c r="AA19" s="2367">
        <f t="shared" si="0"/>
        <v>860</v>
      </c>
      <c r="AB19" s="2052"/>
      <c r="AC19" s="3129"/>
    </row>
    <row r="20" spans="1:29" s="721" customFormat="1" ht="18">
      <c r="A20" s="1063" t="s">
        <v>622</v>
      </c>
      <c r="B20" s="1126"/>
      <c r="C20" s="1360">
        <v>0</v>
      </c>
      <c r="D20" s="1361"/>
      <c r="E20" s="1361">
        <v>0</v>
      </c>
      <c r="F20" s="1361"/>
      <c r="G20" s="1364">
        <v>0</v>
      </c>
      <c r="H20" s="1361"/>
      <c r="I20" s="1364">
        <v>0</v>
      </c>
      <c r="J20" s="1362"/>
      <c r="K20" s="1364">
        <v>0</v>
      </c>
      <c r="L20" s="1361"/>
      <c r="M20" s="1364">
        <v>0</v>
      </c>
      <c r="N20" s="1362"/>
      <c r="O20" s="1364">
        <v>0</v>
      </c>
      <c r="P20" s="1362"/>
      <c r="Q20" s="1364">
        <v>0</v>
      </c>
      <c r="R20" s="1362"/>
      <c r="S20" s="1364">
        <v>0</v>
      </c>
      <c r="T20" s="1362"/>
      <c r="U20" s="1364">
        <v>0</v>
      </c>
      <c r="V20" s="1362"/>
      <c r="W20" s="1364">
        <v>0</v>
      </c>
      <c r="X20" s="1362"/>
      <c r="Y20" s="1364">
        <v>0</v>
      </c>
      <c r="Z20" s="1126"/>
      <c r="AA20" s="2367">
        <f t="shared" si="0"/>
        <v>0</v>
      </c>
      <c r="AB20" s="2052"/>
      <c r="AC20" s="3129"/>
    </row>
    <row r="21" spans="1:29" s="721" customFormat="1" ht="18">
      <c r="A21" s="1063" t="s">
        <v>623</v>
      </c>
      <c r="B21" s="1126"/>
      <c r="C21" s="1360">
        <v>0</v>
      </c>
      <c r="D21" s="1361"/>
      <c r="E21" s="1361">
        <v>0</v>
      </c>
      <c r="F21" s="1361"/>
      <c r="G21" s="1364">
        <v>0</v>
      </c>
      <c r="H21" s="1361"/>
      <c r="I21" s="1364">
        <v>0</v>
      </c>
      <c r="J21" s="1362"/>
      <c r="K21" s="1364">
        <v>0</v>
      </c>
      <c r="L21" s="1361"/>
      <c r="M21" s="1364">
        <v>0</v>
      </c>
      <c r="N21" s="1362"/>
      <c r="O21" s="1364">
        <v>0</v>
      </c>
      <c r="P21" s="1362"/>
      <c r="Q21" s="1364">
        <v>0</v>
      </c>
      <c r="R21" s="1362"/>
      <c r="S21" s="1364">
        <v>0</v>
      </c>
      <c r="T21" s="1362"/>
      <c r="U21" s="1364">
        <v>0</v>
      </c>
      <c r="V21" s="1362"/>
      <c r="W21" s="1364">
        <v>0</v>
      </c>
      <c r="X21" s="1362"/>
      <c r="Y21" s="1364">
        <v>0</v>
      </c>
      <c r="Z21" s="1126"/>
      <c r="AA21" s="2367">
        <f t="shared" si="0"/>
        <v>0</v>
      </c>
      <c r="AB21" s="2052"/>
      <c r="AC21" s="3129"/>
    </row>
    <row r="22" spans="1:29" s="721" customFormat="1" ht="18">
      <c r="A22" s="1063" t="s">
        <v>624</v>
      </c>
      <c r="B22" s="1126"/>
      <c r="C22" s="1360">
        <v>19515</v>
      </c>
      <c r="D22" s="1361"/>
      <c r="E22" s="1361">
        <v>0</v>
      </c>
      <c r="F22" s="1361"/>
      <c r="G22" s="1364">
        <v>0</v>
      </c>
      <c r="H22" s="1361"/>
      <c r="I22" s="1364">
        <v>0</v>
      </c>
      <c r="J22" s="1362"/>
      <c r="K22" s="1364">
        <v>0</v>
      </c>
      <c r="L22" s="1361"/>
      <c r="M22" s="1364">
        <v>0</v>
      </c>
      <c r="N22" s="1362"/>
      <c r="O22" s="1364">
        <v>0</v>
      </c>
      <c r="P22" s="1362"/>
      <c r="Q22" s="1364">
        <v>0</v>
      </c>
      <c r="R22" s="1362"/>
      <c r="S22" s="1364">
        <v>0</v>
      </c>
      <c r="T22" s="1362"/>
      <c r="U22" s="1364">
        <v>0</v>
      </c>
      <c r="V22" s="1362"/>
      <c r="W22" s="1364">
        <v>0</v>
      </c>
      <c r="X22" s="1362"/>
      <c r="Y22" s="1364">
        <v>0</v>
      </c>
      <c r="Z22" s="1126"/>
      <c r="AA22" s="2367">
        <f t="shared" si="0"/>
        <v>19515</v>
      </c>
      <c r="AB22" s="2052"/>
      <c r="AC22" s="3129"/>
    </row>
    <row r="23" spans="1:29" s="721" customFormat="1" ht="18">
      <c r="A23" s="1063" t="s">
        <v>625</v>
      </c>
      <c r="B23" s="1126"/>
      <c r="C23" s="1360">
        <v>5072</v>
      </c>
      <c r="D23" s="1361"/>
      <c r="E23" s="1361">
        <v>0</v>
      </c>
      <c r="F23" s="1361"/>
      <c r="G23" s="1364">
        <v>0</v>
      </c>
      <c r="H23" s="1361"/>
      <c r="I23" s="1364">
        <v>0</v>
      </c>
      <c r="J23" s="1362"/>
      <c r="K23" s="1364">
        <v>0</v>
      </c>
      <c r="L23" s="1361"/>
      <c r="M23" s="1364">
        <v>0</v>
      </c>
      <c r="N23" s="1362"/>
      <c r="O23" s="1364">
        <v>0</v>
      </c>
      <c r="P23" s="1362"/>
      <c r="Q23" s="1364">
        <v>0</v>
      </c>
      <c r="R23" s="1362"/>
      <c r="S23" s="1364">
        <v>0</v>
      </c>
      <c r="T23" s="1362"/>
      <c r="U23" s="1364">
        <v>0</v>
      </c>
      <c r="V23" s="1362"/>
      <c r="W23" s="1364">
        <v>0</v>
      </c>
      <c r="X23" s="1362"/>
      <c r="Y23" s="1364">
        <v>0</v>
      </c>
      <c r="Z23" s="1126"/>
      <c r="AA23" s="2367">
        <f t="shared" si="0"/>
        <v>5072</v>
      </c>
      <c r="AB23" s="2052"/>
      <c r="AC23" s="3129"/>
    </row>
    <row r="24" spans="1:29" s="721" customFormat="1" ht="18">
      <c r="A24" s="1063" t="s">
        <v>626</v>
      </c>
      <c r="B24" s="1126"/>
      <c r="C24" s="1366">
        <v>0</v>
      </c>
      <c r="D24" s="1361"/>
      <c r="E24" s="1361">
        <v>0</v>
      </c>
      <c r="F24" s="1361"/>
      <c r="G24" s="1364">
        <v>0</v>
      </c>
      <c r="H24" s="1361"/>
      <c r="I24" s="1364">
        <v>0</v>
      </c>
      <c r="J24" s="1362"/>
      <c r="K24" s="1364">
        <v>0</v>
      </c>
      <c r="L24" s="1361"/>
      <c r="M24" s="1364">
        <v>0</v>
      </c>
      <c r="N24" s="1362"/>
      <c r="O24" s="1364">
        <v>0</v>
      </c>
      <c r="P24" s="1362"/>
      <c r="Q24" s="1364">
        <v>0</v>
      </c>
      <c r="R24" s="1362"/>
      <c r="S24" s="1364">
        <v>0</v>
      </c>
      <c r="T24" s="1362"/>
      <c r="U24" s="1364">
        <v>0</v>
      </c>
      <c r="V24" s="1362"/>
      <c r="W24" s="1364">
        <v>0</v>
      </c>
      <c r="X24" s="1362"/>
      <c r="Y24" s="1364">
        <v>0</v>
      </c>
      <c r="Z24" s="1126"/>
      <c r="AA24" s="2367">
        <f t="shared" si="0"/>
        <v>0</v>
      </c>
      <c r="AB24" s="2052"/>
      <c r="AC24" s="3129"/>
    </row>
    <row r="25" spans="1:29" s="721" customFormat="1" ht="18">
      <c r="A25" s="1063" t="s">
        <v>627</v>
      </c>
      <c r="B25" s="1126"/>
      <c r="C25" s="1361">
        <v>6444</v>
      </c>
      <c r="D25" s="1361"/>
      <c r="E25" s="1361">
        <v>0</v>
      </c>
      <c r="F25" s="1361"/>
      <c r="G25" s="1364">
        <v>0</v>
      </c>
      <c r="H25" s="1361"/>
      <c r="I25" s="1364">
        <v>0</v>
      </c>
      <c r="J25" s="1362"/>
      <c r="K25" s="1364">
        <v>0</v>
      </c>
      <c r="L25" s="1361"/>
      <c r="M25" s="1364">
        <v>0</v>
      </c>
      <c r="N25" s="1362"/>
      <c r="O25" s="1364">
        <v>0</v>
      </c>
      <c r="P25" s="1362"/>
      <c r="Q25" s="1364">
        <v>0</v>
      </c>
      <c r="R25" s="1362"/>
      <c r="S25" s="1364">
        <v>0</v>
      </c>
      <c r="T25" s="1362"/>
      <c r="U25" s="1364">
        <v>0</v>
      </c>
      <c r="V25" s="1362"/>
      <c r="W25" s="1364">
        <v>0</v>
      </c>
      <c r="X25" s="1362"/>
      <c r="Y25" s="1364">
        <v>0</v>
      </c>
      <c r="Z25" s="1126"/>
      <c r="AA25" s="2367">
        <f t="shared" si="0"/>
        <v>6444</v>
      </c>
      <c r="AB25" s="2052"/>
      <c r="AC25" s="3129"/>
    </row>
    <row r="26" spans="1:29" s="721" customFormat="1" ht="18">
      <c r="A26" s="1063" t="s">
        <v>628</v>
      </c>
      <c r="B26" s="1126"/>
      <c r="C26" s="1360">
        <v>9662</v>
      </c>
      <c r="D26" s="1361"/>
      <c r="E26" s="1361">
        <v>0</v>
      </c>
      <c r="F26" s="1361"/>
      <c r="G26" s="1364">
        <v>0</v>
      </c>
      <c r="H26" s="1361"/>
      <c r="I26" s="1364">
        <v>0</v>
      </c>
      <c r="J26" s="1362"/>
      <c r="K26" s="1364">
        <v>0</v>
      </c>
      <c r="L26" s="1361"/>
      <c r="M26" s="1364">
        <v>0</v>
      </c>
      <c r="N26" s="1362"/>
      <c r="O26" s="1364">
        <v>0</v>
      </c>
      <c r="P26" s="1362"/>
      <c r="Q26" s="1364">
        <v>0</v>
      </c>
      <c r="R26" s="1362"/>
      <c r="S26" s="1364">
        <v>0</v>
      </c>
      <c r="T26" s="1362"/>
      <c r="U26" s="1364">
        <v>0</v>
      </c>
      <c r="V26" s="1362"/>
      <c r="W26" s="1364">
        <v>0</v>
      </c>
      <c r="X26" s="1362"/>
      <c r="Y26" s="1364">
        <v>0</v>
      </c>
      <c r="Z26" s="1126"/>
      <c r="AA26" s="2367">
        <f t="shared" si="0"/>
        <v>9662</v>
      </c>
      <c r="AB26" s="2052"/>
      <c r="AC26" s="3129"/>
    </row>
    <row r="27" spans="1:29" s="721" customFormat="1" ht="18">
      <c r="A27" s="1063" t="s">
        <v>629</v>
      </c>
      <c r="B27" s="1126"/>
      <c r="C27" s="1366">
        <v>547</v>
      </c>
      <c r="D27" s="1361"/>
      <c r="E27" s="1361">
        <v>0</v>
      </c>
      <c r="F27" s="1361"/>
      <c r="G27" s="1364">
        <v>0</v>
      </c>
      <c r="H27" s="1361"/>
      <c r="I27" s="1364">
        <v>0</v>
      </c>
      <c r="J27" s="1362"/>
      <c r="K27" s="1364">
        <v>0</v>
      </c>
      <c r="L27" s="1361"/>
      <c r="M27" s="1364">
        <v>0</v>
      </c>
      <c r="N27" s="1362"/>
      <c r="O27" s="1364">
        <v>0</v>
      </c>
      <c r="P27" s="1362"/>
      <c r="Q27" s="1364">
        <v>0</v>
      </c>
      <c r="R27" s="1362"/>
      <c r="S27" s="1364">
        <v>0</v>
      </c>
      <c r="T27" s="1362"/>
      <c r="U27" s="1364">
        <v>0</v>
      </c>
      <c r="V27" s="1362"/>
      <c r="W27" s="1364">
        <v>0</v>
      </c>
      <c r="X27" s="1362"/>
      <c r="Y27" s="1364">
        <v>0</v>
      </c>
      <c r="Z27" s="1126"/>
      <c r="AA27" s="2367">
        <f t="shared" si="0"/>
        <v>547</v>
      </c>
      <c r="AB27" s="2052"/>
      <c r="AC27" s="3129"/>
    </row>
    <row r="28" spans="1:29" s="721" customFormat="1" ht="18">
      <c r="A28" s="1063" t="s">
        <v>972</v>
      </c>
      <c r="B28" s="1126"/>
      <c r="C28" s="1364">
        <v>266</v>
      </c>
      <c r="D28" s="1361"/>
      <c r="E28" s="1364">
        <v>0</v>
      </c>
      <c r="F28" s="1361"/>
      <c r="G28" s="1364">
        <v>0</v>
      </c>
      <c r="H28" s="1361"/>
      <c r="I28" s="1364">
        <v>0</v>
      </c>
      <c r="J28" s="1362"/>
      <c r="K28" s="1364">
        <v>0</v>
      </c>
      <c r="L28" s="1361"/>
      <c r="M28" s="1364">
        <v>0</v>
      </c>
      <c r="N28" s="1362"/>
      <c r="O28" s="1364">
        <v>0</v>
      </c>
      <c r="P28" s="1362"/>
      <c r="Q28" s="1364">
        <v>0</v>
      </c>
      <c r="R28" s="1362"/>
      <c r="S28" s="1364">
        <v>0</v>
      </c>
      <c r="T28" s="1362"/>
      <c r="U28" s="1364">
        <v>0</v>
      </c>
      <c r="V28" s="1362"/>
      <c r="W28" s="1364">
        <v>0</v>
      </c>
      <c r="X28" s="1362"/>
      <c r="Y28" s="1364">
        <v>0</v>
      </c>
      <c r="Z28" s="1126"/>
      <c r="AA28" s="2367">
        <f>ROUND(SUM(C28:Z28),0)</f>
        <v>266</v>
      </c>
      <c r="AB28" s="2052"/>
      <c r="AC28" s="3129"/>
    </row>
    <row r="29" spans="1:29" s="721" customFormat="1" ht="18">
      <c r="A29" s="1063" t="s">
        <v>630</v>
      </c>
      <c r="B29" s="1126"/>
      <c r="C29" s="1361">
        <v>424</v>
      </c>
      <c r="D29" s="1361"/>
      <c r="E29" s="1361">
        <v>0</v>
      </c>
      <c r="F29" s="1361"/>
      <c r="G29" s="1364">
        <v>0</v>
      </c>
      <c r="H29" s="1361"/>
      <c r="I29" s="1364">
        <v>0</v>
      </c>
      <c r="J29" s="1362"/>
      <c r="K29" s="1364">
        <v>0</v>
      </c>
      <c r="L29" s="1361"/>
      <c r="M29" s="1364">
        <v>0</v>
      </c>
      <c r="N29" s="1362"/>
      <c r="O29" s="1364">
        <v>0</v>
      </c>
      <c r="P29" s="1362"/>
      <c r="Q29" s="1364">
        <v>0</v>
      </c>
      <c r="R29" s="1362"/>
      <c r="S29" s="1364">
        <v>0</v>
      </c>
      <c r="T29" s="1362"/>
      <c r="U29" s="1364">
        <v>0</v>
      </c>
      <c r="V29" s="1362"/>
      <c r="W29" s="1364">
        <v>0</v>
      </c>
      <c r="X29" s="1362"/>
      <c r="Y29" s="1364">
        <v>0</v>
      </c>
      <c r="Z29" s="1126"/>
      <c r="AA29" s="2367">
        <f t="shared" si="0"/>
        <v>424</v>
      </c>
      <c r="AB29" s="2052"/>
      <c r="AC29" s="3129"/>
    </row>
    <row r="30" spans="1:29" s="721" customFormat="1" ht="18">
      <c r="A30" s="1127" t="s">
        <v>971</v>
      </c>
      <c r="B30" s="1126"/>
      <c r="C30" s="3536">
        <f>ROUND(SUM(C14:C29),0)</f>
        <v>43968</v>
      </c>
      <c r="D30" s="1063"/>
      <c r="E30" s="3536">
        <f>ROUND(SUM(E14:E29),0)</f>
        <v>0</v>
      </c>
      <c r="F30" s="1063"/>
      <c r="G30" s="3536">
        <f>ROUND(SUM(G14:G29),0)</f>
        <v>0</v>
      </c>
      <c r="H30" s="1063"/>
      <c r="I30" s="3536">
        <f>ROUND(SUM(I14:I29),0)</f>
        <v>0</v>
      </c>
      <c r="J30" s="1063"/>
      <c r="K30" s="3536">
        <f>ROUND(SUM(K14:K29),0)</f>
        <v>0</v>
      </c>
      <c r="L30" s="1063"/>
      <c r="M30" s="3536">
        <f>ROUND(SUM(M14:M29),0)</f>
        <v>0</v>
      </c>
      <c r="N30" s="1063"/>
      <c r="O30" s="3536">
        <f>ROUND(SUM(O14:O29),0)</f>
        <v>0</v>
      </c>
      <c r="P30" s="1063"/>
      <c r="Q30" s="3536">
        <f>ROUND(SUM(Q14:Q29),0)</f>
        <v>0</v>
      </c>
      <c r="R30" s="1063"/>
      <c r="S30" s="3536">
        <f>ROUND(SUM(S14:S29),0)</f>
        <v>0</v>
      </c>
      <c r="T30" s="1063"/>
      <c r="U30" s="3536">
        <f>ROUND(SUM(U14:U29),0)</f>
        <v>0</v>
      </c>
      <c r="V30" s="1063"/>
      <c r="W30" s="3536">
        <f>ROUND(SUM(W14:W29),0)</f>
        <v>0</v>
      </c>
      <c r="X30" s="1063"/>
      <c r="Y30" s="3536">
        <f>ROUND(SUM(Y14:Y29),0)</f>
        <v>0</v>
      </c>
      <c r="Z30" s="1063"/>
      <c r="AA30" s="3722">
        <f>ROUND(SUM(AA14:AA29),0)</f>
        <v>43968</v>
      </c>
      <c r="AB30" s="2052"/>
      <c r="AC30" s="3129"/>
    </row>
    <row r="31" spans="1:29" s="721" customFormat="1" ht="18">
      <c r="A31"/>
      <c r="B31" s="1126"/>
      <c r="C31" s="1126"/>
      <c r="D31" s="1126"/>
      <c r="E31" s="1126"/>
      <c r="F31" s="1126"/>
      <c r="G31" s="1126"/>
      <c r="H31" s="1126"/>
      <c r="I31" s="1126"/>
      <c r="J31" s="1126"/>
      <c r="K31" s="1126"/>
      <c r="L31" s="1126"/>
      <c r="M31" s="1126"/>
      <c r="N31" s="1126"/>
      <c r="O31" s="1126"/>
      <c r="P31" s="1126"/>
      <c r="Q31" s="1126"/>
      <c r="R31" s="1126"/>
      <c r="S31" s="1126"/>
      <c r="T31" s="1126"/>
      <c r="U31" s="1126"/>
      <c r="V31" s="1126"/>
      <c r="W31" s="1126"/>
      <c r="X31" s="1126"/>
      <c r="Y31" s="1126"/>
      <c r="Z31" s="1126"/>
      <c r="AA31" s="1398"/>
      <c r="AB31" s="2052"/>
      <c r="AC31" s="3129"/>
    </row>
    <row r="32" spans="1:29" s="721" customFormat="1" ht="18">
      <c r="A32" s="1063"/>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6"/>
      <c r="Z32" s="1126"/>
      <c r="AA32" s="1398"/>
      <c r="AB32" s="2052"/>
      <c r="AC32" s="3129"/>
    </row>
    <row r="33" spans="1:29" s="721" customFormat="1" ht="18">
      <c r="A33" s="1127" t="s">
        <v>631</v>
      </c>
      <c r="B33" s="1126"/>
      <c r="C33" s="1126"/>
      <c r="D33" s="1126"/>
      <c r="E33" s="1126"/>
      <c r="F33" s="1126"/>
      <c r="G33" s="1126"/>
      <c r="H33" s="1126"/>
      <c r="I33" s="1126"/>
      <c r="J33" s="1126"/>
      <c r="K33" s="1126"/>
      <c r="L33" s="1126"/>
      <c r="M33" s="1126"/>
      <c r="N33" s="1126"/>
      <c r="O33" s="1126"/>
      <c r="P33" s="1126"/>
      <c r="Q33" s="1126"/>
      <c r="R33" s="1126"/>
      <c r="S33" s="1126"/>
      <c r="T33" s="1126"/>
      <c r="U33" s="1126"/>
      <c r="V33" s="1126"/>
      <c r="W33" s="1126"/>
      <c r="X33" s="1126"/>
      <c r="Y33" s="1126"/>
      <c r="Z33" s="1126"/>
      <c r="AA33" s="1398"/>
      <c r="AB33" s="2052"/>
      <c r="AC33" s="3129"/>
    </row>
    <row r="34" spans="1:29" s="721" customFormat="1" ht="18">
      <c r="A34" s="1063" t="s">
        <v>621</v>
      </c>
      <c r="B34" s="1126"/>
      <c r="C34" s="1126"/>
      <c r="D34" s="1126"/>
      <c r="E34" s="1126"/>
      <c r="F34" s="1126"/>
      <c r="G34" s="1126"/>
      <c r="H34" s="1126"/>
      <c r="I34" s="1126"/>
      <c r="J34" s="1126"/>
      <c r="K34" s="1126"/>
      <c r="L34" s="1126"/>
      <c r="M34" s="1126"/>
      <c r="N34" s="1126"/>
      <c r="O34" s="1126"/>
      <c r="P34" s="1126"/>
      <c r="Q34" s="1126"/>
      <c r="R34" s="1126"/>
      <c r="S34" s="1126"/>
      <c r="T34" s="1126"/>
      <c r="U34" s="1126"/>
      <c r="V34" s="1126"/>
      <c r="W34" s="1126"/>
      <c r="X34" s="1126"/>
      <c r="Y34" s="1126"/>
      <c r="Z34" s="1126"/>
      <c r="AA34" s="1398"/>
      <c r="AB34" s="2052"/>
      <c r="AC34" s="3129"/>
    </row>
    <row r="35" spans="1:29" s="721" customFormat="1" ht="18">
      <c r="A35" s="1063" t="s">
        <v>632</v>
      </c>
      <c r="B35" s="1126"/>
      <c r="C35" s="1363">
        <v>0</v>
      </c>
      <c r="D35" s="1361"/>
      <c r="E35" s="1363">
        <v>0</v>
      </c>
      <c r="F35" s="1361"/>
      <c r="G35" s="1363">
        <v>0</v>
      </c>
      <c r="H35" s="1361"/>
      <c r="I35" s="1363">
        <v>0</v>
      </c>
      <c r="J35" s="1362"/>
      <c r="K35" s="1363">
        <v>0</v>
      </c>
      <c r="L35" s="1361"/>
      <c r="M35" s="1363">
        <v>0</v>
      </c>
      <c r="N35" s="1362"/>
      <c r="O35" s="1363">
        <v>0</v>
      </c>
      <c r="P35" s="1362"/>
      <c r="Q35" s="1363">
        <v>0</v>
      </c>
      <c r="R35" s="1362"/>
      <c r="S35" s="1363">
        <v>0</v>
      </c>
      <c r="T35" s="1362"/>
      <c r="U35" s="1363">
        <v>0</v>
      </c>
      <c r="V35" s="1362"/>
      <c r="W35" s="1363">
        <v>0</v>
      </c>
      <c r="X35" s="1362"/>
      <c r="Y35" s="1363">
        <v>0</v>
      </c>
      <c r="Z35" s="1126"/>
      <c r="AA35" s="2367">
        <f>ROUND(SUM(C35:Z35),0)</f>
        <v>0</v>
      </c>
      <c r="AB35" s="2052"/>
      <c r="AC35" s="3129"/>
    </row>
    <row r="36" spans="1:29" s="721" customFormat="1" ht="18">
      <c r="A36" s="1063" t="s">
        <v>1319</v>
      </c>
      <c r="B36" s="1126"/>
      <c r="C36" s="1361">
        <v>0</v>
      </c>
      <c r="D36" s="1361"/>
      <c r="E36" s="1363">
        <v>0</v>
      </c>
      <c r="F36" s="1361"/>
      <c r="G36" s="1363">
        <v>0</v>
      </c>
      <c r="H36" s="1361"/>
      <c r="I36" s="1363">
        <v>0</v>
      </c>
      <c r="J36" s="1362"/>
      <c r="K36" s="1363">
        <v>0</v>
      </c>
      <c r="L36" s="1361"/>
      <c r="M36" s="1363">
        <v>0</v>
      </c>
      <c r="N36" s="1362"/>
      <c r="O36" s="1363">
        <v>0</v>
      </c>
      <c r="P36" s="1362"/>
      <c r="Q36" s="1363">
        <v>0</v>
      </c>
      <c r="R36" s="1362"/>
      <c r="S36" s="1363">
        <v>0</v>
      </c>
      <c r="T36" s="1362"/>
      <c r="U36" s="1363">
        <v>0</v>
      </c>
      <c r="V36" s="1362"/>
      <c r="W36" s="1363">
        <v>0</v>
      </c>
      <c r="X36" s="1362"/>
      <c r="Y36" s="1363">
        <v>0</v>
      </c>
      <c r="Z36" s="1126"/>
      <c r="AA36" s="2367">
        <f>ROUND(SUM(C36:Z36),0)</f>
        <v>0</v>
      </c>
      <c r="AB36" s="2052"/>
      <c r="AC36" s="3129"/>
    </row>
    <row r="37" spans="1:29" s="721" customFormat="1" ht="18">
      <c r="A37" s="1063" t="s">
        <v>633</v>
      </c>
      <c r="B37" s="1126"/>
      <c r="C37" s="1363">
        <v>0</v>
      </c>
      <c r="D37" s="1361"/>
      <c r="E37" s="1363">
        <v>0</v>
      </c>
      <c r="F37" s="1361"/>
      <c r="G37" s="1363">
        <v>0</v>
      </c>
      <c r="H37" s="1361"/>
      <c r="I37" s="1363">
        <v>0</v>
      </c>
      <c r="J37" s="1362"/>
      <c r="K37" s="1363">
        <v>0</v>
      </c>
      <c r="L37" s="1361"/>
      <c r="M37" s="1363">
        <v>0</v>
      </c>
      <c r="N37" s="1362"/>
      <c r="O37" s="1363">
        <v>0</v>
      </c>
      <c r="P37" s="1362"/>
      <c r="Q37" s="1363">
        <v>0</v>
      </c>
      <c r="R37" s="1362"/>
      <c r="S37" s="1363">
        <v>0</v>
      </c>
      <c r="T37" s="1362"/>
      <c r="U37" s="1363">
        <v>0</v>
      </c>
      <c r="V37" s="1362"/>
      <c r="W37" s="1363">
        <v>0</v>
      </c>
      <c r="X37" s="1362"/>
      <c r="Y37" s="1363">
        <v>0</v>
      </c>
      <c r="Z37" s="1126"/>
      <c r="AA37" s="2367">
        <f>ROUND(SUM(C37:Z37),0)</f>
        <v>0</v>
      </c>
      <c r="AB37" s="2052"/>
      <c r="AC37" s="3129"/>
    </row>
    <row r="38" spans="1:29" s="721" customFormat="1" ht="18">
      <c r="A38" s="1063" t="s">
        <v>1098</v>
      </c>
      <c r="B38" s="1126"/>
      <c r="C38" s="1363">
        <v>0</v>
      </c>
      <c r="D38" s="1361"/>
      <c r="E38" s="1363">
        <v>0</v>
      </c>
      <c r="F38" s="1366"/>
      <c r="G38" s="1363">
        <v>0</v>
      </c>
      <c r="H38" s="1366"/>
      <c r="I38" s="1363">
        <v>0</v>
      </c>
      <c r="J38" s="1367"/>
      <c r="K38" s="1363">
        <v>0</v>
      </c>
      <c r="L38" s="1366"/>
      <c r="M38" s="1363">
        <v>0</v>
      </c>
      <c r="N38" s="1367"/>
      <c r="O38" s="1363">
        <v>0</v>
      </c>
      <c r="P38" s="1367"/>
      <c r="Q38" s="1363">
        <v>0</v>
      </c>
      <c r="R38" s="1367"/>
      <c r="S38" s="1363">
        <v>0</v>
      </c>
      <c r="T38" s="1367"/>
      <c r="U38" s="1363">
        <v>0</v>
      </c>
      <c r="V38" s="1367"/>
      <c r="W38" s="1363">
        <v>0</v>
      </c>
      <c r="X38" s="1367"/>
      <c r="Y38" s="1363">
        <v>0</v>
      </c>
      <c r="Z38" s="1126"/>
      <c r="AA38" s="2367">
        <f>ROUND(SUM(C38:Z38),0)</f>
        <v>0</v>
      </c>
      <c r="AB38" s="2052"/>
      <c r="AC38" s="3129"/>
    </row>
    <row r="39" spans="1:29" s="719" customFormat="1" ht="18">
      <c r="A39" s="1063" t="s">
        <v>634</v>
      </c>
      <c r="B39" s="1126"/>
      <c r="C39" s="3535">
        <v>0</v>
      </c>
      <c r="D39" s="1361"/>
      <c r="E39" s="3535">
        <v>0</v>
      </c>
      <c r="F39" s="1361"/>
      <c r="G39" s="3535">
        <v>0</v>
      </c>
      <c r="H39" s="1361"/>
      <c r="I39" s="3535">
        <v>0</v>
      </c>
      <c r="J39" s="1362"/>
      <c r="K39" s="3535">
        <v>0</v>
      </c>
      <c r="L39" s="1361"/>
      <c r="M39" s="3535">
        <v>0</v>
      </c>
      <c r="N39" s="1362"/>
      <c r="O39" s="3535">
        <v>0</v>
      </c>
      <c r="P39" s="1362"/>
      <c r="Q39" s="3535">
        <v>0</v>
      </c>
      <c r="R39" s="1362"/>
      <c r="S39" s="3535">
        <v>0</v>
      </c>
      <c r="T39" s="1362"/>
      <c r="U39" s="3535">
        <v>0</v>
      </c>
      <c r="V39" s="1362"/>
      <c r="W39" s="3535">
        <v>0</v>
      </c>
      <c r="X39" s="1362"/>
      <c r="Y39" s="3535">
        <v>0</v>
      </c>
      <c r="Z39" s="1126"/>
      <c r="AA39" s="2367">
        <f>ROUND(SUM(C39:Z39),0)</f>
        <v>0</v>
      </c>
      <c r="AB39" s="2053"/>
      <c r="AC39" s="3130"/>
    </row>
    <row r="40" spans="1:29" s="719" customFormat="1" ht="18">
      <c r="A40" s="1127" t="s">
        <v>970</v>
      </c>
      <c r="B40" s="1126"/>
      <c r="C40" s="3536">
        <f>ROUND(SUM(C35:C39),0)</f>
        <v>0</v>
      </c>
      <c r="D40" s="1063"/>
      <c r="E40" s="3536">
        <f>ROUND(SUM(E35:E39),0)</f>
        <v>0</v>
      </c>
      <c r="F40" s="1063"/>
      <c r="G40" s="3536">
        <f>ROUND(SUM(G35:G39),0)</f>
        <v>0</v>
      </c>
      <c r="H40" s="1063"/>
      <c r="I40" s="3536">
        <f>ROUND(SUM(I35:I39),0)</f>
        <v>0</v>
      </c>
      <c r="J40" s="1063"/>
      <c r="K40" s="3536">
        <f>ROUND(SUM(K35:K39),0)</f>
        <v>0</v>
      </c>
      <c r="L40" s="1063"/>
      <c r="M40" s="3536">
        <f>ROUND(SUM(M35:M39),0)</f>
        <v>0</v>
      </c>
      <c r="N40" s="1063"/>
      <c r="O40" s="3536">
        <f>ROUND(SUM(O35:O39),0)</f>
        <v>0</v>
      </c>
      <c r="P40" s="1063"/>
      <c r="Q40" s="3536">
        <f>ROUND(SUM(Q35:Q39),0)</f>
        <v>0</v>
      </c>
      <c r="R40" s="1063"/>
      <c r="S40" s="3536">
        <f>ROUND(SUM(S35:S39),0)</f>
        <v>0</v>
      </c>
      <c r="T40" s="1063"/>
      <c r="U40" s="3536">
        <f>ROUND(SUM(U35:U39),0)</f>
        <v>0</v>
      </c>
      <c r="V40" s="1063"/>
      <c r="W40" s="3536">
        <f>ROUND(SUM(W35:W39),0)</f>
        <v>0</v>
      </c>
      <c r="X40" s="1063"/>
      <c r="Y40" s="3536">
        <f>ROUND(SUM(Y35:Y39),0)</f>
        <v>0</v>
      </c>
      <c r="Z40" s="1063"/>
      <c r="AA40" s="3722">
        <f>ROUND(SUM(AA35:AA39),0)</f>
        <v>0</v>
      </c>
      <c r="AB40" s="2053"/>
      <c r="AC40" s="3130"/>
    </row>
    <row r="41" spans="1:29" ht="18">
      <c r="A41" s="1063"/>
      <c r="B41" s="1126"/>
      <c r="C41" s="1126"/>
      <c r="D41" s="1126"/>
      <c r="E41" s="1126"/>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398"/>
      <c r="AB41" s="2053"/>
      <c r="AC41" s="3131"/>
    </row>
    <row r="42" spans="1:29" ht="18">
      <c r="A42" s="1063"/>
      <c r="B42" s="1126"/>
      <c r="C42" s="1126"/>
      <c r="D42" s="1126"/>
      <c r="E42" s="1126"/>
      <c r="F42" s="1126"/>
      <c r="G42" s="1126"/>
      <c r="H42" s="1126"/>
      <c r="I42" s="1126"/>
      <c r="J42" s="1126"/>
      <c r="K42" s="1126"/>
      <c r="L42" s="1126"/>
      <c r="M42" s="1126"/>
      <c r="N42" s="1126"/>
      <c r="O42" s="1126"/>
      <c r="P42" s="1126"/>
      <c r="Q42" s="1126"/>
      <c r="R42" s="1126"/>
      <c r="S42" s="3572"/>
      <c r="T42" s="1126"/>
      <c r="U42" s="1126"/>
      <c r="V42" s="1126"/>
      <c r="W42" s="1126"/>
      <c r="X42" s="1126"/>
      <c r="Y42" s="1126"/>
      <c r="Z42" s="1126"/>
      <c r="AA42" s="1398"/>
    </row>
    <row r="43" spans="1:29" s="723" customFormat="1" ht="18.75" thickBot="1">
      <c r="A43" s="1127" t="s">
        <v>969</v>
      </c>
      <c r="B43" s="1126"/>
      <c r="C43" s="3132">
        <f>ROUND(C30+C40,0)</f>
        <v>43968</v>
      </c>
      <c r="D43" s="1063"/>
      <c r="E43" s="3132">
        <f>ROUND(E30+E40,0)</f>
        <v>0</v>
      </c>
      <c r="F43" s="1063"/>
      <c r="G43" s="3132">
        <f>ROUND(G30+G40,0)</f>
        <v>0</v>
      </c>
      <c r="H43" s="1063"/>
      <c r="I43" s="3132">
        <f>ROUND(I30+I40,0)</f>
        <v>0</v>
      </c>
      <c r="J43" s="1063"/>
      <c r="K43" s="3132">
        <f>ROUND(K30+K40,0)</f>
        <v>0</v>
      </c>
      <c r="L43" s="1063"/>
      <c r="M43" s="3132">
        <f>ROUND(M30+M40,0)</f>
        <v>0</v>
      </c>
      <c r="N43" s="1063"/>
      <c r="O43" s="3132">
        <f>ROUND(O30+O40,0)</f>
        <v>0</v>
      </c>
      <c r="P43" s="1063"/>
      <c r="Q43" s="3132">
        <f>ROUND(Q30+Q40,0)</f>
        <v>0</v>
      </c>
      <c r="R43" s="1063"/>
      <c r="S43" s="3132">
        <f>ROUND(S30+S40,0)</f>
        <v>0</v>
      </c>
      <c r="T43" s="1063"/>
      <c r="U43" s="3132">
        <f>ROUND(U30+U40,0)</f>
        <v>0</v>
      </c>
      <c r="V43" s="1063"/>
      <c r="W43" s="3132">
        <f>ROUND(W30+W40,0)</f>
        <v>0</v>
      </c>
      <c r="X43" s="1063"/>
      <c r="Y43" s="3132">
        <f>ROUND(Y30+Y40,0)</f>
        <v>0</v>
      </c>
      <c r="Z43" s="1063"/>
      <c r="AA43" s="3723">
        <f>ROUND(AA30+AA40,0)</f>
        <v>43968</v>
      </c>
    </row>
    <row r="44" spans="1:29" ht="15.75" thickTop="1">
      <c r="A44" s="2054"/>
      <c r="C44" s="724"/>
      <c r="D44" s="724"/>
      <c r="E44" s="724"/>
      <c r="F44" s="724"/>
      <c r="G44" s="724"/>
      <c r="H44" s="724"/>
      <c r="I44" s="724"/>
      <c r="J44" s="724"/>
      <c r="K44" s="724"/>
      <c r="L44" s="724"/>
      <c r="M44" s="724"/>
      <c r="N44" s="724"/>
      <c r="O44" s="724"/>
      <c r="P44" s="724"/>
      <c r="Q44" s="724"/>
      <c r="R44" s="724"/>
      <c r="S44" s="724"/>
      <c r="T44" s="724"/>
      <c r="U44" s="724"/>
      <c r="V44" s="724"/>
      <c r="W44" s="724"/>
      <c r="X44" s="724"/>
      <c r="Y44" s="725"/>
      <c r="AA44" s="722"/>
    </row>
    <row r="45" spans="1:29" ht="13.5" thickBot="1"/>
    <row r="46" spans="1:29" ht="20.100000000000001" customHeight="1">
      <c r="A46" s="3773" t="s">
        <v>635</v>
      </c>
      <c r="B46" s="3774"/>
      <c r="C46" s="3774"/>
      <c r="D46" s="3774"/>
      <c r="E46" s="3774"/>
      <c r="F46" s="3774"/>
      <c r="G46" s="3774"/>
      <c r="H46" s="3774"/>
      <c r="I46" s="3774"/>
      <c r="J46" s="3774"/>
      <c r="K46" s="3774"/>
      <c r="L46" s="3774"/>
      <c r="M46" s="3774"/>
      <c r="N46" s="3774"/>
      <c r="O46" s="3774"/>
      <c r="P46" s="3774"/>
      <c r="Q46" s="3774"/>
      <c r="R46" s="3774"/>
      <c r="S46" s="3774"/>
      <c r="T46" s="3774"/>
      <c r="U46" s="3774"/>
      <c r="V46" s="3774"/>
      <c r="W46" s="3774"/>
      <c r="X46" s="3774"/>
      <c r="Y46" s="3774"/>
      <c r="Z46" s="3774"/>
      <c r="AA46" s="3775"/>
    </row>
    <row r="47" spans="1:29" ht="20.100000000000001" customHeight="1">
      <c r="A47" s="3776"/>
      <c r="B47" s="3777"/>
      <c r="C47" s="3777"/>
      <c r="D47" s="3777"/>
      <c r="E47" s="3777"/>
      <c r="F47" s="3777"/>
      <c r="G47" s="3777"/>
      <c r="H47" s="3777"/>
      <c r="I47" s="3777"/>
      <c r="J47" s="3777"/>
      <c r="K47" s="3777"/>
      <c r="L47" s="3777"/>
      <c r="M47" s="3777"/>
      <c r="N47" s="3777"/>
      <c r="O47" s="3777"/>
      <c r="P47" s="3777"/>
      <c r="Q47" s="3777"/>
      <c r="R47" s="3777"/>
      <c r="S47" s="3777"/>
      <c r="T47" s="3777"/>
      <c r="U47" s="3777"/>
      <c r="V47" s="3777"/>
      <c r="W47" s="3777"/>
      <c r="X47" s="3777"/>
      <c r="Y47" s="3777"/>
      <c r="Z47" s="3777"/>
      <c r="AA47" s="3778"/>
    </row>
    <row r="48" spans="1:29" ht="20.100000000000001" customHeight="1">
      <c r="A48" s="3776"/>
      <c r="B48" s="3777"/>
      <c r="C48" s="3777"/>
      <c r="D48" s="3777"/>
      <c r="E48" s="3777"/>
      <c r="F48" s="3777"/>
      <c r="G48" s="3777"/>
      <c r="H48" s="3777"/>
      <c r="I48" s="3777"/>
      <c r="J48" s="3777"/>
      <c r="K48" s="3777"/>
      <c r="L48" s="3777"/>
      <c r="M48" s="3777"/>
      <c r="N48" s="3777"/>
      <c r="O48" s="3777"/>
      <c r="P48" s="3777"/>
      <c r="Q48" s="3777"/>
      <c r="R48" s="3777"/>
      <c r="S48" s="3777"/>
      <c r="T48" s="3777"/>
      <c r="U48" s="3777"/>
      <c r="V48" s="3777"/>
      <c r="W48" s="3777"/>
      <c r="X48" s="3777"/>
      <c r="Y48" s="3777"/>
      <c r="Z48" s="3777"/>
      <c r="AA48" s="3778"/>
    </row>
    <row r="49" spans="1:27" ht="22.5" customHeight="1" thickBot="1">
      <c r="A49" s="3779"/>
      <c r="B49" s="3780"/>
      <c r="C49" s="3780"/>
      <c r="D49" s="3780"/>
      <c r="E49" s="3780"/>
      <c r="F49" s="3780"/>
      <c r="G49" s="3780"/>
      <c r="H49" s="3780"/>
      <c r="I49" s="3780"/>
      <c r="J49" s="3780"/>
      <c r="K49" s="3780"/>
      <c r="L49" s="3780"/>
      <c r="M49" s="3780"/>
      <c r="N49" s="3780"/>
      <c r="O49" s="3780"/>
      <c r="P49" s="3780"/>
      <c r="Q49" s="3780"/>
      <c r="R49" s="3780"/>
      <c r="S49" s="3780"/>
      <c r="T49" s="3780"/>
      <c r="U49" s="3780"/>
      <c r="V49" s="3780"/>
      <c r="W49" s="3780"/>
      <c r="X49" s="3780"/>
      <c r="Y49" s="3780"/>
      <c r="Z49" s="3780"/>
      <c r="AA49" s="3781"/>
    </row>
    <row r="51" spans="1:27" ht="14.45"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6" firstPageNumber="52" orientation="landscape" useFirstPageNumber="1" r:id="rId2"/>
  <headerFooter scaleWithDoc="0" alignWithMargins="0">
    <oddFooter>&amp;C&amp;8&amp;P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Q293"/>
  <sheetViews>
    <sheetView showGridLines="0" zoomScale="70" workbookViewId="0"/>
  </sheetViews>
  <sheetFormatPr defaultRowHeight="15"/>
  <cols>
    <col min="1" max="1" width="8.88671875" style="2036" customWidth="1"/>
    <col min="2" max="2" width="10.21875" style="2036" customWidth="1"/>
    <col min="3" max="3" width="2.21875" style="2045" customWidth="1"/>
    <col min="4" max="4" width="50.44140625" style="2036" customWidth="1"/>
    <col min="5" max="5" width="8.88671875" style="2045" customWidth="1"/>
    <col min="6" max="6" width="2.109375" style="1187" customWidth="1"/>
    <col min="7" max="7" width="20.21875" style="2672" customWidth="1"/>
    <col min="8" max="8" width="2.109375" style="2045" customWidth="1"/>
    <col min="9" max="9" width="20.21875" style="2036" customWidth="1"/>
    <col min="10" max="10" width="2.109375" style="2045" customWidth="1"/>
    <col min="11" max="11" width="20.21875" style="2036" customWidth="1"/>
    <col min="12" max="12" width="2.109375" style="2045" customWidth="1"/>
    <col min="13" max="13" width="20.21875" style="2036" customWidth="1"/>
    <col min="14" max="14" width="2.109375" style="2045" customWidth="1"/>
    <col min="15" max="15" width="20.21875" style="2036" customWidth="1"/>
    <col min="16" max="16" width="6.109375" style="2036" bestFit="1" customWidth="1"/>
    <col min="17" max="17" width="13.109375" style="2036" bestFit="1" customWidth="1"/>
    <col min="18" max="255" width="8.88671875" style="2036"/>
    <col min="256" max="257" width="8.88671875" style="2036" customWidth="1"/>
    <col min="258" max="258" width="10.21875" style="2036" customWidth="1"/>
    <col min="259" max="259" width="2.21875" style="2036" customWidth="1"/>
    <col min="260" max="260" width="50.44140625" style="2036" customWidth="1"/>
    <col min="261" max="261" width="8.88671875" style="2036"/>
    <col min="262" max="262" width="2.109375" style="2036" customWidth="1"/>
    <col min="263" max="263" width="23.88671875" style="2036" customWidth="1"/>
    <col min="264" max="264" width="2.109375" style="2036" customWidth="1"/>
    <col min="265" max="265" width="23.88671875" style="2036" customWidth="1"/>
    <col min="266" max="266" width="2.109375" style="2036" customWidth="1"/>
    <col min="267" max="267" width="23.88671875" style="2036" customWidth="1"/>
    <col min="268" max="268" width="2.109375" style="2036" customWidth="1"/>
    <col min="269" max="269" width="23.88671875" style="2036" customWidth="1"/>
    <col min="270" max="270" width="2.109375" style="2036" customWidth="1"/>
    <col min="271" max="271" width="23.88671875" style="2036" customWidth="1"/>
    <col min="272" max="272" width="2.77734375" style="2036" bestFit="1" customWidth="1"/>
    <col min="273" max="511" width="8.88671875" style="2036"/>
    <col min="512" max="513" width="8.88671875" style="2036" customWidth="1"/>
    <col min="514" max="514" width="10.21875" style="2036" customWidth="1"/>
    <col min="515" max="515" width="2.21875" style="2036" customWidth="1"/>
    <col min="516" max="516" width="50.44140625" style="2036" customWidth="1"/>
    <col min="517" max="517" width="8.88671875" style="2036"/>
    <col min="518" max="518" width="2.109375" style="2036" customWidth="1"/>
    <col min="519" max="519" width="23.88671875" style="2036" customWidth="1"/>
    <col min="520" max="520" width="2.109375" style="2036" customWidth="1"/>
    <col min="521" max="521" width="23.88671875" style="2036" customWidth="1"/>
    <col min="522" max="522" width="2.109375" style="2036" customWidth="1"/>
    <col min="523" max="523" width="23.88671875" style="2036" customWidth="1"/>
    <col min="524" max="524" width="2.109375" style="2036" customWidth="1"/>
    <col min="525" max="525" width="23.88671875" style="2036" customWidth="1"/>
    <col min="526" max="526" width="2.109375" style="2036" customWidth="1"/>
    <col min="527" max="527" width="23.88671875" style="2036" customWidth="1"/>
    <col min="528" max="528" width="2.77734375" style="2036" bestFit="1" customWidth="1"/>
    <col min="529" max="767" width="8.88671875" style="2036"/>
    <col min="768" max="769" width="8.88671875" style="2036" customWidth="1"/>
    <col min="770" max="770" width="10.21875" style="2036" customWidth="1"/>
    <col min="771" max="771" width="2.21875" style="2036" customWidth="1"/>
    <col min="772" max="772" width="50.44140625" style="2036" customWidth="1"/>
    <col min="773" max="773" width="8.88671875" style="2036"/>
    <col min="774" max="774" width="2.109375" style="2036" customWidth="1"/>
    <col min="775" max="775" width="23.88671875" style="2036" customWidth="1"/>
    <col min="776" max="776" width="2.109375" style="2036" customWidth="1"/>
    <col min="777" max="777" width="23.88671875" style="2036" customWidth="1"/>
    <col min="778" max="778" width="2.109375" style="2036" customWidth="1"/>
    <col min="779" max="779" width="23.88671875" style="2036" customWidth="1"/>
    <col min="780" max="780" width="2.109375" style="2036" customWidth="1"/>
    <col min="781" max="781" width="23.88671875" style="2036" customWidth="1"/>
    <col min="782" max="782" width="2.109375" style="2036" customWidth="1"/>
    <col min="783" max="783" width="23.88671875" style="2036" customWidth="1"/>
    <col min="784" max="784" width="2.77734375" style="2036" bestFit="1" customWidth="1"/>
    <col min="785" max="1023" width="8.88671875" style="2036"/>
    <col min="1024" max="1025" width="8.88671875" style="2036" customWidth="1"/>
    <col min="1026" max="1026" width="10.21875" style="2036" customWidth="1"/>
    <col min="1027" max="1027" width="2.21875" style="2036" customWidth="1"/>
    <col min="1028" max="1028" width="50.44140625" style="2036" customWidth="1"/>
    <col min="1029" max="1029" width="8.88671875" style="2036"/>
    <col min="1030" max="1030" width="2.109375" style="2036" customWidth="1"/>
    <col min="1031" max="1031" width="23.88671875" style="2036" customWidth="1"/>
    <col min="1032" max="1032" width="2.109375" style="2036" customWidth="1"/>
    <col min="1033" max="1033" width="23.88671875" style="2036" customWidth="1"/>
    <col min="1034" max="1034" width="2.109375" style="2036" customWidth="1"/>
    <col min="1035" max="1035" width="23.88671875" style="2036" customWidth="1"/>
    <col min="1036" max="1036" width="2.109375" style="2036" customWidth="1"/>
    <col min="1037" max="1037" width="23.88671875" style="2036" customWidth="1"/>
    <col min="1038" max="1038" width="2.109375" style="2036" customWidth="1"/>
    <col min="1039" max="1039" width="23.88671875" style="2036" customWidth="1"/>
    <col min="1040" max="1040" width="2.77734375" style="2036" bestFit="1" customWidth="1"/>
    <col min="1041" max="1279" width="8.88671875" style="2036"/>
    <col min="1280" max="1281" width="8.88671875" style="2036" customWidth="1"/>
    <col min="1282" max="1282" width="10.21875" style="2036" customWidth="1"/>
    <col min="1283" max="1283" width="2.21875" style="2036" customWidth="1"/>
    <col min="1284" max="1284" width="50.44140625" style="2036" customWidth="1"/>
    <col min="1285" max="1285" width="8.88671875" style="2036"/>
    <col min="1286" max="1286" width="2.109375" style="2036" customWidth="1"/>
    <col min="1287" max="1287" width="23.88671875" style="2036" customWidth="1"/>
    <col min="1288" max="1288" width="2.109375" style="2036" customWidth="1"/>
    <col min="1289" max="1289" width="23.88671875" style="2036" customWidth="1"/>
    <col min="1290" max="1290" width="2.109375" style="2036" customWidth="1"/>
    <col min="1291" max="1291" width="23.88671875" style="2036" customWidth="1"/>
    <col min="1292" max="1292" width="2.109375" style="2036" customWidth="1"/>
    <col min="1293" max="1293" width="23.88671875" style="2036" customWidth="1"/>
    <col min="1294" max="1294" width="2.109375" style="2036" customWidth="1"/>
    <col min="1295" max="1295" width="23.88671875" style="2036" customWidth="1"/>
    <col min="1296" max="1296" width="2.77734375" style="2036" bestFit="1" customWidth="1"/>
    <col min="1297" max="1535" width="8.88671875" style="2036"/>
    <col min="1536" max="1537" width="8.88671875" style="2036" customWidth="1"/>
    <col min="1538" max="1538" width="10.21875" style="2036" customWidth="1"/>
    <col min="1539" max="1539" width="2.21875" style="2036" customWidth="1"/>
    <col min="1540" max="1540" width="50.44140625" style="2036" customWidth="1"/>
    <col min="1541" max="1541" width="8.88671875" style="2036"/>
    <col min="1542" max="1542" width="2.109375" style="2036" customWidth="1"/>
    <col min="1543" max="1543" width="23.88671875" style="2036" customWidth="1"/>
    <col min="1544" max="1544" width="2.109375" style="2036" customWidth="1"/>
    <col min="1545" max="1545" width="23.88671875" style="2036" customWidth="1"/>
    <col min="1546" max="1546" width="2.109375" style="2036" customWidth="1"/>
    <col min="1547" max="1547" width="23.88671875" style="2036" customWidth="1"/>
    <col min="1548" max="1548" width="2.109375" style="2036" customWidth="1"/>
    <col min="1549" max="1549" width="23.88671875" style="2036" customWidth="1"/>
    <col min="1550" max="1550" width="2.109375" style="2036" customWidth="1"/>
    <col min="1551" max="1551" width="23.88671875" style="2036" customWidth="1"/>
    <col min="1552" max="1552" width="2.77734375" style="2036" bestFit="1" customWidth="1"/>
    <col min="1553" max="1791" width="8.88671875" style="2036"/>
    <col min="1792" max="1793" width="8.88671875" style="2036" customWidth="1"/>
    <col min="1794" max="1794" width="10.21875" style="2036" customWidth="1"/>
    <col min="1795" max="1795" width="2.21875" style="2036" customWidth="1"/>
    <col min="1796" max="1796" width="50.44140625" style="2036" customWidth="1"/>
    <col min="1797" max="1797" width="8.88671875" style="2036"/>
    <col min="1798" max="1798" width="2.109375" style="2036" customWidth="1"/>
    <col min="1799" max="1799" width="23.88671875" style="2036" customWidth="1"/>
    <col min="1800" max="1800" width="2.109375" style="2036" customWidth="1"/>
    <col min="1801" max="1801" width="23.88671875" style="2036" customWidth="1"/>
    <col min="1802" max="1802" width="2.109375" style="2036" customWidth="1"/>
    <col min="1803" max="1803" width="23.88671875" style="2036" customWidth="1"/>
    <col min="1804" max="1804" width="2.109375" style="2036" customWidth="1"/>
    <col min="1805" max="1805" width="23.88671875" style="2036" customWidth="1"/>
    <col min="1806" max="1806" width="2.109375" style="2036" customWidth="1"/>
    <col min="1807" max="1807" width="23.88671875" style="2036" customWidth="1"/>
    <col min="1808" max="1808" width="2.77734375" style="2036" bestFit="1" customWidth="1"/>
    <col min="1809" max="2047" width="8.88671875" style="2036"/>
    <col min="2048" max="2049" width="8.88671875" style="2036" customWidth="1"/>
    <col min="2050" max="2050" width="10.21875" style="2036" customWidth="1"/>
    <col min="2051" max="2051" width="2.21875" style="2036" customWidth="1"/>
    <col min="2052" max="2052" width="50.44140625" style="2036" customWidth="1"/>
    <col min="2053" max="2053" width="8.88671875" style="2036"/>
    <col min="2054" max="2054" width="2.109375" style="2036" customWidth="1"/>
    <col min="2055" max="2055" width="23.88671875" style="2036" customWidth="1"/>
    <col min="2056" max="2056" width="2.109375" style="2036" customWidth="1"/>
    <col min="2057" max="2057" width="23.88671875" style="2036" customWidth="1"/>
    <col min="2058" max="2058" width="2.109375" style="2036" customWidth="1"/>
    <col min="2059" max="2059" width="23.88671875" style="2036" customWidth="1"/>
    <col min="2060" max="2060" width="2.109375" style="2036" customWidth="1"/>
    <col min="2061" max="2061" width="23.88671875" style="2036" customWidth="1"/>
    <col min="2062" max="2062" width="2.109375" style="2036" customWidth="1"/>
    <col min="2063" max="2063" width="23.88671875" style="2036" customWidth="1"/>
    <col min="2064" max="2064" width="2.77734375" style="2036" bestFit="1" customWidth="1"/>
    <col min="2065" max="2303" width="8.88671875" style="2036"/>
    <col min="2304" max="2305" width="8.88671875" style="2036" customWidth="1"/>
    <col min="2306" max="2306" width="10.21875" style="2036" customWidth="1"/>
    <col min="2307" max="2307" width="2.21875" style="2036" customWidth="1"/>
    <col min="2308" max="2308" width="50.44140625" style="2036" customWidth="1"/>
    <col min="2309" max="2309" width="8.88671875" style="2036"/>
    <col min="2310" max="2310" width="2.109375" style="2036" customWidth="1"/>
    <col min="2311" max="2311" width="23.88671875" style="2036" customWidth="1"/>
    <col min="2312" max="2312" width="2.109375" style="2036" customWidth="1"/>
    <col min="2313" max="2313" width="23.88671875" style="2036" customWidth="1"/>
    <col min="2314" max="2314" width="2.109375" style="2036" customWidth="1"/>
    <col min="2315" max="2315" width="23.88671875" style="2036" customWidth="1"/>
    <col min="2316" max="2316" width="2.109375" style="2036" customWidth="1"/>
    <col min="2317" max="2317" width="23.88671875" style="2036" customWidth="1"/>
    <col min="2318" max="2318" width="2.109375" style="2036" customWidth="1"/>
    <col min="2319" max="2319" width="23.88671875" style="2036" customWidth="1"/>
    <col min="2320" max="2320" width="2.77734375" style="2036" bestFit="1" customWidth="1"/>
    <col min="2321" max="2559" width="8.88671875" style="2036"/>
    <col min="2560" max="2561" width="8.88671875" style="2036" customWidth="1"/>
    <col min="2562" max="2562" width="10.21875" style="2036" customWidth="1"/>
    <col min="2563" max="2563" width="2.21875" style="2036" customWidth="1"/>
    <col min="2564" max="2564" width="50.44140625" style="2036" customWidth="1"/>
    <col min="2565" max="2565" width="8.88671875" style="2036"/>
    <col min="2566" max="2566" width="2.109375" style="2036" customWidth="1"/>
    <col min="2567" max="2567" width="23.88671875" style="2036" customWidth="1"/>
    <col min="2568" max="2568" width="2.109375" style="2036" customWidth="1"/>
    <col min="2569" max="2569" width="23.88671875" style="2036" customWidth="1"/>
    <col min="2570" max="2570" width="2.109375" style="2036" customWidth="1"/>
    <col min="2571" max="2571" width="23.88671875" style="2036" customWidth="1"/>
    <col min="2572" max="2572" width="2.109375" style="2036" customWidth="1"/>
    <col min="2573" max="2573" width="23.88671875" style="2036" customWidth="1"/>
    <col min="2574" max="2574" width="2.109375" style="2036" customWidth="1"/>
    <col min="2575" max="2575" width="23.88671875" style="2036" customWidth="1"/>
    <col min="2576" max="2576" width="2.77734375" style="2036" bestFit="1" customWidth="1"/>
    <col min="2577" max="2815" width="8.88671875" style="2036"/>
    <col min="2816" max="2817" width="8.88671875" style="2036" customWidth="1"/>
    <col min="2818" max="2818" width="10.21875" style="2036" customWidth="1"/>
    <col min="2819" max="2819" width="2.21875" style="2036" customWidth="1"/>
    <col min="2820" max="2820" width="50.44140625" style="2036" customWidth="1"/>
    <col min="2821" max="2821" width="8.88671875" style="2036"/>
    <col min="2822" max="2822" width="2.109375" style="2036" customWidth="1"/>
    <col min="2823" max="2823" width="23.88671875" style="2036" customWidth="1"/>
    <col min="2824" max="2824" width="2.109375" style="2036" customWidth="1"/>
    <col min="2825" max="2825" width="23.88671875" style="2036" customWidth="1"/>
    <col min="2826" max="2826" width="2.109375" style="2036" customWidth="1"/>
    <col min="2827" max="2827" width="23.88671875" style="2036" customWidth="1"/>
    <col min="2828" max="2828" width="2.109375" style="2036" customWidth="1"/>
    <col min="2829" max="2829" width="23.88671875" style="2036" customWidth="1"/>
    <col min="2830" max="2830" width="2.109375" style="2036" customWidth="1"/>
    <col min="2831" max="2831" width="23.88671875" style="2036" customWidth="1"/>
    <col min="2832" max="2832" width="2.77734375" style="2036" bestFit="1" customWidth="1"/>
    <col min="2833" max="3071" width="8.88671875" style="2036"/>
    <col min="3072" max="3073" width="8.88671875" style="2036" customWidth="1"/>
    <col min="3074" max="3074" width="10.21875" style="2036" customWidth="1"/>
    <col min="3075" max="3075" width="2.21875" style="2036" customWidth="1"/>
    <col min="3076" max="3076" width="50.44140625" style="2036" customWidth="1"/>
    <col min="3077" max="3077" width="8.88671875" style="2036"/>
    <col min="3078" max="3078" width="2.109375" style="2036" customWidth="1"/>
    <col min="3079" max="3079" width="23.88671875" style="2036" customWidth="1"/>
    <col min="3080" max="3080" width="2.109375" style="2036" customWidth="1"/>
    <col min="3081" max="3081" width="23.88671875" style="2036" customWidth="1"/>
    <col min="3082" max="3082" width="2.109375" style="2036" customWidth="1"/>
    <col min="3083" max="3083" width="23.88671875" style="2036" customWidth="1"/>
    <col min="3084" max="3084" width="2.109375" style="2036" customWidth="1"/>
    <col min="3085" max="3085" width="23.88671875" style="2036" customWidth="1"/>
    <col min="3086" max="3086" width="2.109375" style="2036" customWidth="1"/>
    <col min="3087" max="3087" width="23.88671875" style="2036" customWidth="1"/>
    <col min="3088" max="3088" width="2.77734375" style="2036" bestFit="1" customWidth="1"/>
    <col min="3089" max="3327" width="8.88671875" style="2036"/>
    <col min="3328" max="3329" width="8.88671875" style="2036" customWidth="1"/>
    <col min="3330" max="3330" width="10.21875" style="2036" customWidth="1"/>
    <col min="3331" max="3331" width="2.21875" style="2036" customWidth="1"/>
    <col min="3332" max="3332" width="50.44140625" style="2036" customWidth="1"/>
    <col min="3333" max="3333" width="8.88671875" style="2036"/>
    <col min="3334" max="3334" width="2.109375" style="2036" customWidth="1"/>
    <col min="3335" max="3335" width="23.88671875" style="2036" customWidth="1"/>
    <col min="3336" max="3336" width="2.109375" style="2036" customWidth="1"/>
    <col min="3337" max="3337" width="23.88671875" style="2036" customWidth="1"/>
    <col min="3338" max="3338" width="2.109375" style="2036" customWidth="1"/>
    <col min="3339" max="3339" width="23.88671875" style="2036" customWidth="1"/>
    <col min="3340" max="3340" width="2.109375" style="2036" customWidth="1"/>
    <col min="3341" max="3341" width="23.88671875" style="2036" customWidth="1"/>
    <col min="3342" max="3342" width="2.109375" style="2036" customWidth="1"/>
    <col min="3343" max="3343" width="23.88671875" style="2036" customWidth="1"/>
    <col min="3344" max="3344" width="2.77734375" style="2036" bestFit="1" customWidth="1"/>
    <col min="3345" max="3583" width="8.88671875" style="2036"/>
    <col min="3584" max="3585" width="8.88671875" style="2036" customWidth="1"/>
    <col min="3586" max="3586" width="10.21875" style="2036" customWidth="1"/>
    <col min="3587" max="3587" width="2.21875" style="2036" customWidth="1"/>
    <col min="3588" max="3588" width="50.44140625" style="2036" customWidth="1"/>
    <col min="3589" max="3589" width="8.88671875" style="2036"/>
    <col min="3590" max="3590" width="2.109375" style="2036" customWidth="1"/>
    <col min="3591" max="3591" width="23.88671875" style="2036" customWidth="1"/>
    <col min="3592" max="3592" width="2.109375" style="2036" customWidth="1"/>
    <col min="3593" max="3593" width="23.88671875" style="2036" customWidth="1"/>
    <col min="3594" max="3594" width="2.109375" style="2036" customWidth="1"/>
    <col min="3595" max="3595" width="23.88671875" style="2036" customWidth="1"/>
    <col min="3596" max="3596" width="2.109375" style="2036" customWidth="1"/>
    <col min="3597" max="3597" width="23.88671875" style="2036" customWidth="1"/>
    <col min="3598" max="3598" width="2.109375" style="2036" customWidth="1"/>
    <col min="3599" max="3599" width="23.88671875" style="2036" customWidth="1"/>
    <col min="3600" max="3600" width="2.77734375" style="2036" bestFit="1" customWidth="1"/>
    <col min="3601" max="3839" width="8.88671875" style="2036"/>
    <col min="3840" max="3841" width="8.88671875" style="2036" customWidth="1"/>
    <col min="3842" max="3842" width="10.21875" style="2036" customWidth="1"/>
    <col min="3843" max="3843" width="2.21875" style="2036" customWidth="1"/>
    <col min="3844" max="3844" width="50.44140625" style="2036" customWidth="1"/>
    <col min="3845" max="3845" width="8.88671875" style="2036"/>
    <col min="3846" max="3846" width="2.109375" style="2036" customWidth="1"/>
    <col min="3847" max="3847" width="23.88671875" style="2036" customWidth="1"/>
    <col min="3848" max="3848" width="2.109375" style="2036" customWidth="1"/>
    <col min="3849" max="3849" width="23.88671875" style="2036" customWidth="1"/>
    <col min="3850" max="3850" width="2.109375" style="2036" customWidth="1"/>
    <col min="3851" max="3851" width="23.88671875" style="2036" customWidth="1"/>
    <col min="3852" max="3852" width="2.109375" style="2036" customWidth="1"/>
    <col min="3853" max="3853" width="23.88671875" style="2036" customWidth="1"/>
    <col min="3854" max="3854" width="2.109375" style="2036" customWidth="1"/>
    <col min="3855" max="3855" width="23.88671875" style="2036" customWidth="1"/>
    <col min="3856" max="3856" width="2.77734375" style="2036" bestFit="1" customWidth="1"/>
    <col min="3857" max="4095" width="8.88671875" style="2036"/>
    <col min="4096" max="4097" width="8.88671875" style="2036" customWidth="1"/>
    <col min="4098" max="4098" width="10.21875" style="2036" customWidth="1"/>
    <col min="4099" max="4099" width="2.21875" style="2036" customWidth="1"/>
    <col min="4100" max="4100" width="50.44140625" style="2036" customWidth="1"/>
    <col min="4101" max="4101" width="8.88671875" style="2036"/>
    <col min="4102" max="4102" width="2.109375" style="2036" customWidth="1"/>
    <col min="4103" max="4103" width="23.88671875" style="2036" customWidth="1"/>
    <col min="4104" max="4104" width="2.109375" style="2036" customWidth="1"/>
    <col min="4105" max="4105" width="23.88671875" style="2036" customWidth="1"/>
    <col min="4106" max="4106" width="2.109375" style="2036" customWidth="1"/>
    <col min="4107" max="4107" width="23.88671875" style="2036" customWidth="1"/>
    <col min="4108" max="4108" width="2.109375" style="2036" customWidth="1"/>
    <col min="4109" max="4109" width="23.88671875" style="2036" customWidth="1"/>
    <col min="4110" max="4110" width="2.109375" style="2036" customWidth="1"/>
    <col min="4111" max="4111" width="23.88671875" style="2036" customWidth="1"/>
    <col min="4112" max="4112" width="2.77734375" style="2036" bestFit="1" customWidth="1"/>
    <col min="4113" max="4351" width="8.88671875" style="2036"/>
    <col min="4352" max="4353" width="8.88671875" style="2036" customWidth="1"/>
    <col min="4354" max="4354" width="10.21875" style="2036" customWidth="1"/>
    <col min="4355" max="4355" width="2.21875" style="2036" customWidth="1"/>
    <col min="4356" max="4356" width="50.44140625" style="2036" customWidth="1"/>
    <col min="4357" max="4357" width="8.88671875" style="2036"/>
    <col min="4358" max="4358" width="2.109375" style="2036" customWidth="1"/>
    <col min="4359" max="4359" width="23.88671875" style="2036" customWidth="1"/>
    <col min="4360" max="4360" width="2.109375" style="2036" customWidth="1"/>
    <col min="4361" max="4361" width="23.88671875" style="2036" customWidth="1"/>
    <col min="4362" max="4362" width="2.109375" style="2036" customWidth="1"/>
    <col min="4363" max="4363" width="23.88671875" style="2036" customWidth="1"/>
    <col min="4364" max="4364" width="2.109375" style="2036" customWidth="1"/>
    <col min="4365" max="4365" width="23.88671875" style="2036" customWidth="1"/>
    <col min="4366" max="4366" width="2.109375" style="2036" customWidth="1"/>
    <col min="4367" max="4367" width="23.88671875" style="2036" customWidth="1"/>
    <col min="4368" max="4368" width="2.77734375" style="2036" bestFit="1" customWidth="1"/>
    <col min="4369" max="4607" width="8.88671875" style="2036"/>
    <col min="4608" max="4609" width="8.88671875" style="2036" customWidth="1"/>
    <col min="4610" max="4610" width="10.21875" style="2036" customWidth="1"/>
    <col min="4611" max="4611" width="2.21875" style="2036" customWidth="1"/>
    <col min="4612" max="4612" width="50.44140625" style="2036" customWidth="1"/>
    <col min="4613" max="4613" width="8.88671875" style="2036"/>
    <col min="4614" max="4614" width="2.109375" style="2036" customWidth="1"/>
    <col min="4615" max="4615" width="23.88671875" style="2036" customWidth="1"/>
    <col min="4616" max="4616" width="2.109375" style="2036" customWidth="1"/>
    <col min="4617" max="4617" width="23.88671875" style="2036" customWidth="1"/>
    <col min="4618" max="4618" width="2.109375" style="2036" customWidth="1"/>
    <col min="4619" max="4619" width="23.88671875" style="2036" customWidth="1"/>
    <col min="4620" max="4620" width="2.109375" style="2036" customWidth="1"/>
    <col min="4621" max="4621" width="23.88671875" style="2036" customWidth="1"/>
    <col min="4622" max="4622" width="2.109375" style="2036" customWidth="1"/>
    <col min="4623" max="4623" width="23.88671875" style="2036" customWidth="1"/>
    <col min="4624" max="4624" width="2.77734375" style="2036" bestFit="1" customWidth="1"/>
    <col min="4625" max="4863" width="8.88671875" style="2036"/>
    <col min="4864" max="4865" width="8.88671875" style="2036" customWidth="1"/>
    <col min="4866" max="4866" width="10.21875" style="2036" customWidth="1"/>
    <col min="4867" max="4867" width="2.21875" style="2036" customWidth="1"/>
    <col min="4868" max="4868" width="50.44140625" style="2036" customWidth="1"/>
    <col min="4869" max="4869" width="8.88671875" style="2036"/>
    <col min="4870" max="4870" width="2.109375" style="2036" customWidth="1"/>
    <col min="4871" max="4871" width="23.88671875" style="2036" customWidth="1"/>
    <col min="4872" max="4872" width="2.109375" style="2036" customWidth="1"/>
    <col min="4873" max="4873" width="23.88671875" style="2036" customWidth="1"/>
    <col min="4874" max="4874" width="2.109375" style="2036" customWidth="1"/>
    <col min="4875" max="4875" width="23.88671875" style="2036" customWidth="1"/>
    <col min="4876" max="4876" width="2.109375" style="2036" customWidth="1"/>
    <col min="4877" max="4877" width="23.88671875" style="2036" customWidth="1"/>
    <col min="4878" max="4878" width="2.109375" style="2036" customWidth="1"/>
    <col min="4879" max="4879" width="23.88671875" style="2036" customWidth="1"/>
    <col min="4880" max="4880" width="2.77734375" style="2036" bestFit="1" customWidth="1"/>
    <col min="4881" max="5119" width="8.88671875" style="2036"/>
    <col min="5120" max="5121" width="8.88671875" style="2036" customWidth="1"/>
    <col min="5122" max="5122" width="10.21875" style="2036" customWidth="1"/>
    <col min="5123" max="5123" width="2.21875" style="2036" customWidth="1"/>
    <col min="5124" max="5124" width="50.44140625" style="2036" customWidth="1"/>
    <col min="5125" max="5125" width="8.88671875" style="2036"/>
    <col min="5126" max="5126" width="2.109375" style="2036" customWidth="1"/>
    <col min="5127" max="5127" width="23.88671875" style="2036" customWidth="1"/>
    <col min="5128" max="5128" width="2.109375" style="2036" customWidth="1"/>
    <col min="5129" max="5129" width="23.88671875" style="2036" customWidth="1"/>
    <col min="5130" max="5130" width="2.109375" style="2036" customWidth="1"/>
    <col min="5131" max="5131" width="23.88671875" style="2036" customWidth="1"/>
    <col min="5132" max="5132" width="2.109375" style="2036" customWidth="1"/>
    <col min="5133" max="5133" width="23.88671875" style="2036" customWidth="1"/>
    <col min="5134" max="5134" width="2.109375" style="2036" customWidth="1"/>
    <col min="5135" max="5135" width="23.88671875" style="2036" customWidth="1"/>
    <col min="5136" max="5136" width="2.77734375" style="2036" bestFit="1" customWidth="1"/>
    <col min="5137" max="5375" width="8.88671875" style="2036"/>
    <col min="5376" max="5377" width="8.88671875" style="2036" customWidth="1"/>
    <col min="5378" max="5378" width="10.21875" style="2036" customWidth="1"/>
    <col min="5379" max="5379" width="2.21875" style="2036" customWidth="1"/>
    <col min="5380" max="5380" width="50.44140625" style="2036" customWidth="1"/>
    <col min="5381" max="5381" width="8.88671875" style="2036"/>
    <col min="5382" max="5382" width="2.109375" style="2036" customWidth="1"/>
    <col min="5383" max="5383" width="23.88671875" style="2036" customWidth="1"/>
    <col min="5384" max="5384" width="2.109375" style="2036" customWidth="1"/>
    <col min="5385" max="5385" width="23.88671875" style="2036" customWidth="1"/>
    <col min="5386" max="5386" width="2.109375" style="2036" customWidth="1"/>
    <col min="5387" max="5387" width="23.88671875" style="2036" customWidth="1"/>
    <col min="5388" max="5388" width="2.109375" style="2036" customWidth="1"/>
    <col min="5389" max="5389" width="23.88671875" style="2036" customWidth="1"/>
    <col min="5390" max="5390" width="2.109375" style="2036" customWidth="1"/>
    <col min="5391" max="5391" width="23.88671875" style="2036" customWidth="1"/>
    <col min="5392" max="5392" width="2.77734375" style="2036" bestFit="1" customWidth="1"/>
    <col min="5393" max="5631" width="8.88671875" style="2036"/>
    <col min="5632" max="5633" width="8.88671875" style="2036" customWidth="1"/>
    <col min="5634" max="5634" width="10.21875" style="2036" customWidth="1"/>
    <col min="5635" max="5635" width="2.21875" style="2036" customWidth="1"/>
    <col min="5636" max="5636" width="50.44140625" style="2036" customWidth="1"/>
    <col min="5637" max="5637" width="8.88671875" style="2036"/>
    <col min="5638" max="5638" width="2.109375" style="2036" customWidth="1"/>
    <col min="5639" max="5639" width="23.88671875" style="2036" customWidth="1"/>
    <col min="5640" max="5640" width="2.109375" style="2036" customWidth="1"/>
    <col min="5641" max="5641" width="23.88671875" style="2036" customWidth="1"/>
    <col min="5642" max="5642" width="2.109375" style="2036" customWidth="1"/>
    <col min="5643" max="5643" width="23.88671875" style="2036" customWidth="1"/>
    <col min="5644" max="5644" width="2.109375" style="2036" customWidth="1"/>
    <col min="5645" max="5645" width="23.88671875" style="2036" customWidth="1"/>
    <col min="5646" max="5646" width="2.109375" style="2036" customWidth="1"/>
    <col min="5647" max="5647" width="23.88671875" style="2036" customWidth="1"/>
    <col min="5648" max="5648" width="2.77734375" style="2036" bestFit="1" customWidth="1"/>
    <col min="5649" max="5887" width="8.88671875" style="2036"/>
    <col min="5888" max="5889" width="8.88671875" style="2036" customWidth="1"/>
    <col min="5890" max="5890" width="10.21875" style="2036" customWidth="1"/>
    <col min="5891" max="5891" width="2.21875" style="2036" customWidth="1"/>
    <col min="5892" max="5892" width="50.44140625" style="2036" customWidth="1"/>
    <col min="5893" max="5893" width="8.88671875" style="2036"/>
    <col min="5894" max="5894" width="2.109375" style="2036" customWidth="1"/>
    <col min="5895" max="5895" width="23.88671875" style="2036" customWidth="1"/>
    <col min="5896" max="5896" width="2.109375" style="2036" customWidth="1"/>
    <col min="5897" max="5897" width="23.88671875" style="2036" customWidth="1"/>
    <col min="5898" max="5898" width="2.109375" style="2036" customWidth="1"/>
    <col min="5899" max="5899" width="23.88671875" style="2036" customWidth="1"/>
    <col min="5900" max="5900" width="2.109375" style="2036" customWidth="1"/>
    <col min="5901" max="5901" width="23.88671875" style="2036" customWidth="1"/>
    <col min="5902" max="5902" width="2.109375" style="2036" customWidth="1"/>
    <col min="5903" max="5903" width="23.88671875" style="2036" customWidth="1"/>
    <col min="5904" max="5904" width="2.77734375" style="2036" bestFit="1" customWidth="1"/>
    <col min="5905" max="6143" width="8.88671875" style="2036"/>
    <col min="6144" max="6145" width="8.88671875" style="2036" customWidth="1"/>
    <col min="6146" max="6146" width="10.21875" style="2036" customWidth="1"/>
    <col min="6147" max="6147" width="2.21875" style="2036" customWidth="1"/>
    <col min="6148" max="6148" width="50.44140625" style="2036" customWidth="1"/>
    <col min="6149" max="6149" width="8.88671875" style="2036"/>
    <col min="6150" max="6150" width="2.109375" style="2036" customWidth="1"/>
    <col min="6151" max="6151" width="23.88671875" style="2036" customWidth="1"/>
    <col min="6152" max="6152" width="2.109375" style="2036" customWidth="1"/>
    <col min="6153" max="6153" width="23.88671875" style="2036" customWidth="1"/>
    <col min="6154" max="6154" width="2.109375" style="2036" customWidth="1"/>
    <col min="6155" max="6155" width="23.88671875" style="2036" customWidth="1"/>
    <col min="6156" max="6156" width="2.109375" style="2036" customWidth="1"/>
    <col min="6157" max="6157" width="23.88671875" style="2036" customWidth="1"/>
    <col min="6158" max="6158" width="2.109375" style="2036" customWidth="1"/>
    <col min="6159" max="6159" width="23.88671875" style="2036" customWidth="1"/>
    <col min="6160" max="6160" width="2.77734375" style="2036" bestFit="1" customWidth="1"/>
    <col min="6161" max="6399" width="8.88671875" style="2036"/>
    <col min="6400" max="6401" width="8.88671875" style="2036" customWidth="1"/>
    <col min="6402" max="6402" width="10.21875" style="2036" customWidth="1"/>
    <col min="6403" max="6403" width="2.21875" style="2036" customWidth="1"/>
    <col min="6404" max="6404" width="50.44140625" style="2036" customWidth="1"/>
    <col min="6405" max="6405" width="8.88671875" style="2036"/>
    <col min="6406" max="6406" width="2.109375" style="2036" customWidth="1"/>
    <col min="6407" max="6407" width="23.88671875" style="2036" customWidth="1"/>
    <col min="6408" max="6408" width="2.109375" style="2036" customWidth="1"/>
    <col min="6409" max="6409" width="23.88671875" style="2036" customWidth="1"/>
    <col min="6410" max="6410" width="2.109375" style="2036" customWidth="1"/>
    <col min="6411" max="6411" width="23.88671875" style="2036" customWidth="1"/>
    <col min="6412" max="6412" width="2.109375" style="2036" customWidth="1"/>
    <col min="6413" max="6413" width="23.88671875" style="2036" customWidth="1"/>
    <col min="6414" max="6414" width="2.109375" style="2036" customWidth="1"/>
    <col min="6415" max="6415" width="23.88671875" style="2036" customWidth="1"/>
    <col min="6416" max="6416" width="2.77734375" style="2036" bestFit="1" customWidth="1"/>
    <col min="6417" max="6655" width="8.88671875" style="2036"/>
    <col min="6656" max="6657" width="8.88671875" style="2036" customWidth="1"/>
    <col min="6658" max="6658" width="10.21875" style="2036" customWidth="1"/>
    <col min="6659" max="6659" width="2.21875" style="2036" customWidth="1"/>
    <col min="6660" max="6660" width="50.44140625" style="2036" customWidth="1"/>
    <col min="6661" max="6661" width="8.88671875" style="2036"/>
    <col min="6662" max="6662" width="2.109375" style="2036" customWidth="1"/>
    <col min="6663" max="6663" width="23.88671875" style="2036" customWidth="1"/>
    <col min="6664" max="6664" width="2.109375" style="2036" customWidth="1"/>
    <col min="6665" max="6665" width="23.88671875" style="2036" customWidth="1"/>
    <col min="6666" max="6666" width="2.109375" style="2036" customWidth="1"/>
    <col min="6667" max="6667" width="23.88671875" style="2036" customWidth="1"/>
    <col min="6668" max="6668" width="2.109375" style="2036" customWidth="1"/>
    <col min="6669" max="6669" width="23.88671875" style="2036" customWidth="1"/>
    <col min="6670" max="6670" width="2.109375" style="2036" customWidth="1"/>
    <col min="6671" max="6671" width="23.88671875" style="2036" customWidth="1"/>
    <col min="6672" max="6672" width="2.77734375" style="2036" bestFit="1" customWidth="1"/>
    <col min="6673" max="6911" width="8.88671875" style="2036"/>
    <col min="6912" max="6913" width="8.88671875" style="2036" customWidth="1"/>
    <col min="6914" max="6914" width="10.21875" style="2036" customWidth="1"/>
    <col min="6915" max="6915" width="2.21875" style="2036" customWidth="1"/>
    <col min="6916" max="6916" width="50.44140625" style="2036" customWidth="1"/>
    <col min="6917" max="6917" width="8.88671875" style="2036"/>
    <col min="6918" max="6918" width="2.109375" style="2036" customWidth="1"/>
    <col min="6919" max="6919" width="23.88671875" style="2036" customWidth="1"/>
    <col min="6920" max="6920" width="2.109375" style="2036" customWidth="1"/>
    <col min="6921" max="6921" width="23.88671875" style="2036" customWidth="1"/>
    <col min="6922" max="6922" width="2.109375" style="2036" customWidth="1"/>
    <col min="6923" max="6923" width="23.88671875" style="2036" customWidth="1"/>
    <col min="6924" max="6924" width="2.109375" style="2036" customWidth="1"/>
    <col min="6925" max="6925" width="23.88671875" style="2036" customWidth="1"/>
    <col min="6926" max="6926" width="2.109375" style="2036" customWidth="1"/>
    <col min="6927" max="6927" width="23.88671875" style="2036" customWidth="1"/>
    <col min="6928" max="6928" width="2.77734375" style="2036" bestFit="1" customWidth="1"/>
    <col min="6929" max="7167" width="8.88671875" style="2036"/>
    <col min="7168" max="7169" width="8.88671875" style="2036" customWidth="1"/>
    <col min="7170" max="7170" width="10.21875" style="2036" customWidth="1"/>
    <col min="7171" max="7171" width="2.21875" style="2036" customWidth="1"/>
    <col min="7172" max="7172" width="50.44140625" style="2036" customWidth="1"/>
    <col min="7173" max="7173" width="8.88671875" style="2036"/>
    <col min="7174" max="7174" width="2.109375" style="2036" customWidth="1"/>
    <col min="7175" max="7175" width="23.88671875" style="2036" customWidth="1"/>
    <col min="7176" max="7176" width="2.109375" style="2036" customWidth="1"/>
    <col min="7177" max="7177" width="23.88671875" style="2036" customWidth="1"/>
    <col min="7178" max="7178" width="2.109375" style="2036" customWidth="1"/>
    <col min="7179" max="7179" width="23.88671875" style="2036" customWidth="1"/>
    <col min="7180" max="7180" width="2.109375" style="2036" customWidth="1"/>
    <col min="7181" max="7181" width="23.88671875" style="2036" customWidth="1"/>
    <col min="7182" max="7182" width="2.109375" style="2036" customWidth="1"/>
    <col min="7183" max="7183" width="23.88671875" style="2036" customWidth="1"/>
    <col min="7184" max="7184" width="2.77734375" style="2036" bestFit="1" customWidth="1"/>
    <col min="7185" max="7423" width="8.88671875" style="2036"/>
    <col min="7424" max="7425" width="8.88671875" style="2036" customWidth="1"/>
    <col min="7426" max="7426" width="10.21875" style="2036" customWidth="1"/>
    <col min="7427" max="7427" width="2.21875" style="2036" customWidth="1"/>
    <col min="7428" max="7428" width="50.44140625" style="2036" customWidth="1"/>
    <col min="7429" max="7429" width="8.88671875" style="2036"/>
    <col min="7430" max="7430" width="2.109375" style="2036" customWidth="1"/>
    <col min="7431" max="7431" width="23.88671875" style="2036" customWidth="1"/>
    <col min="7432" max="7432" width="2.109375" style="2036" customWidth="1"/>
    <col min="7433" max="7433" width="23.88671875" style="2036" customWidth="1"/>
    <col min="7434" max="7434" width="2.109375" style="2036" customWidth="1"/>
    <col min="7435" max="7435" width="23.88671875" style="2036" customWidth="1"/>
    <col min="7436" max="7436" width="2.109375" style="2036" customWidth="1"/>
    <col min="7437" max="7437" width="23.88671875" style="2036" customWidth="1"/>
    <col min="7438" max="7438" width="2.109375" style="2036" customWidth="1"/>
    <col min="7439" max="7439" width="23.88671875" style="2036" customWidth="1"/>
    <col min="7440" max="7440" width="2.77734375" style="2036" bestFit="1" customWidth="1"/>
    <col min="7441" max="7679" width="8.88671875" style="2036"/>
    <col min="7680" max="7681" width="8.88671875" style="2036" customWidth="1"/>
    <col min="7682" max="7682" width="10.21875" style="2036" customWidth="1"/>
    <col min="7683" max="7683" width="2.21875" style="2036" customWidth="1"/>
    <col min="7684" max="7684" width="50.44140625" style="2036" customWidth="1"/>
    <col min="7685" max="7685" width="8.88671875" style="2036"/>
    <col min="7686" max="7686" width="2.109375" style="2036" customWidth="1"/>
    <col min="7687" max="7687" width="23.88671875" style="2036" customWidth="1"/>
    <col min="7688" max="7688" width="2.109375" style="2036" customWidth="1"/>
    <col min="7689" max="7689" width="23.88671875" style="2036" customWidth="1"/>
    <col min="7690" max="7690" width="2.109375" style="2036" customWidth="1"/>
    <col min="7691" max="7691" width="23.88671875" style="2036" customWidth="1"/>
    <col min="7692" max="7692" width="2.109375" style="2036" customWidth="1"/>
    <col min="7693" max="7693" width="23.88671875" style="2036" customWidth="1"/>
    <col min="7694" max="7694" width="2.109375" style="2036" customWidth="1"/>
    <col min="7695" max="7695" width="23.88671875" style="2036" customWidth="1"/>
    <col min="7696" max="7696" width="2.77734375" style="2036" bestFit="1" customWidth="1"/>
    <col min="7697" max="7935" width="8.88671875" style="2036"/>
    <col min="7936" max="7937" width="8.88671875" style="2036" customWidth="1"/>
    <col min="7938" max="7938" width="10.21875" style="2036" customWidth="1"/>
    <col min="7939" max="7939" width="2.21875" style="2036" customWidth="1"/>
    <col min="7940" max="7940" width="50.44140625" style="2036" customWidth="1"/>
    <col min="7941" max="7941" width="8.88671875" style="2036"/>
    <col min="7942" max="7942" width="2.109375" style="2036" customWidth="1"/>
    <col min="7943" max="7943" width="23.88671875" style="2036" customWidth="1"/>
    <col min="7944" max="7944" width="2.109375" style="2036" customWidth="1"/>
    <col min="7945" max="7945" width="23.88671875" style="2036" customWidth="1"/>
    <col min="7946" max="7946" width="2.109375" style="2036" customWidth="1"/>
    <col min="7947" max="7947" width="23.88671875" style="2036" customWidth="1"/>
    <col min="7948" max="7948" width="2.109375" style="2036" customWidth="1"/>
    <col min="7949" max="7949" width="23.88671875" style="2036" customWidth="1"/>
    <col min="7950" max="7950" width="2.109375" style="2036" customWidth="1"/>
    <col min="7951" max="7951" width="23.88671875" style="2036" customWidth="1"/>
    <col min="7952" max="7952" width="2.77734375" style="2036" bestFit="1" customWidth="1"/>
    <col min="7953" max="8191" width="8.88671875" style="2036"/>
    <col min="8192" max="8193" width="8.88671875" style="2036" customWidth="1"/>
    <col min="8194" max="8194" width="10.21875" style="2036" customWidth="1"/>
    <col min="8195" max="8195" width="2.21875" style="2036" customWidth="1"/>
    <col min="8196" max="8196" width="50.44140625" style="2036" customWidth="1"/>
    <col min="8197" max="8197" width="8.88671875" style="2036"/>
    <col min="8198" max="8198" width="2.109375" style="2036" customWidth="1"/>
    <col min="8199" max="8199" width="23.88671875" style="2036" customWidth="1"/>
    <col min="8200" max="8200" width="2.109375" style="2036" customWidth="1"/>
    <col min="8201" max="8201" width="23.88671875" style="2036" customWidth="1"/>
    <col min="8202" max="8202" width="2.109375" style="2036" customWidth="1"/>
    <col min="8203" max="8203" width="23.88671875" style="2036" customWidth="1"/>
    <col min="8204" max="8204" width="2.109375" style="2036" customWidth="1"/>
    <col min="8205" max="8205" width="23.88671875" style="2036" customWidth="1"/>
    <col min="8206" max="8206" width="2.109375" style="2036" customWidth="1"/>
    <col min="8207" max="8207" width="23.88671875" style="2036" customWidth="1"/>
    <col min="8208" max="8208" width="2.77734375" style="2036" bestFit="1" customWidth="1"/>
    <col min="8209" max="8447" width="8.88671875" style="2036"/>
    <col min="8448" max="8449" width="8.88671875" style="2036" customWidth="1"/>
    <col min="8450" max="8450" width="10.21875" style="2036" customWidth="1"/>
    <col min="8451" max="8451" width="2.21875" style="2036" customWidth="1"/>
    <col min="8452" max="8452" width="50.44140625" style="2036" customWidth="1"/>
    <col min="8453" max="8453" width="8.88671875" style="2036"/>
    <col min="8454" max="8454" width="2.109375" style="2036" customWidth="1"/>
    <col min="8455" max="8455" width="23.88671875" style="2036" customWidth="1"/>
    <col min="8456" max="8456" width="2.109375" style="2036" customWidth="1"/>
    <col min="8457" max="8457" width="23.88671875" style="2036" customWidth="1"/>
    <col min="8458" max="8458" width="2.109375" style="2036" customWidth="1"/>
    <col min="8459" max="8459" width="23.88671875" style="2036" customWidth="1"/>
    <col min="8460" max="8460" width="2.109375" style="2036" customWidth="1"/>
    <col min="8461" max="8461" width="23.88671875" style="2036" customWidth="1"/>
    <col min="8462" max="8462" width="2.109375" style="2036" customWidth="1"/>
    <col min="8463" max="8463" width="23.88671875" style="2036" customWidth="1"/>
    <col min="8464" max="8464" width="2.77734375" style="2036" bestFit="1" customWidth="1"/>
    <col min="8465" max="8703" width="8.88671875" style="2036"/>
    <col min="8704" max="8705" width="8.88671875" style="2036" customWidth="1"/>
    <col min="8706" max="8706" width="10.21875" style="2036" customWidth="1"/>
    <col min="8707" max="8707" width="2.21875" style="2036" customWidth="1"/>
    <col min="8708" max="8708" width="50.44140625" style="2036" customWidth="1"/>
    <col min="8709" max="8709" width="8.88671875" style="2036"/>
    <col min="8710" max="8710" width="2.109375" style="2036" customWidth="1"/>
    <col min="8711" max="8711" width="23.88671875" style="2036" customWidth="1"/>
    <col min="8712" max="8712" width="2.109375" style="2036" customWidth="1"/>
    <col min="8713" max="8713" width="23.88671875" style="2036" customWidth="1"/>
    <col min="8714" max="8714" width="2.109375" style="2036" customWidth="1"/>
    <col min="8715" max="8715" width="23.88671875" style="2036" customWidth="1"/>
    <col min="8716" max="8716" width="2.109375" style="2036" customWidth="1"/>
    <col min="8717" max="8717" width="23.88671875" style="2036" customWidth="1"/>
    <col min="8718" max="8718" width="2.109375" style="2036" customWidth="1"/>
    <col min="8719" max="8719" width="23.88671875" style="2036" customWidth="1"/>
    <col min="8720" max="8720" width="2.77734375" style="2036" bestFit="1" customWidth="1"/>
    <col min="8721" max="8959" width="8.88671875" style="2036"/>
    <col min="8960" max="8961" width="8.88671875" style="2036" customWidth="1"/>
    <col min="8962" max="8962" width="10.21875" style="2036" customWidth="1"/>
    <col min="8963" max="8963" width="2.21875" style="2036" customWidth="1"/>
    <col min="8964" max="8964" width="50.44140625" style="2036" customWidth="1"/>
    <col min="8965" max="8965" width="8.88671875" style="2036"/>
    <col min="8966" max="8966" width="2.109375" style="2036" customWidth="1"/>
    <col min="8967" max="8967" width="23.88671875" style="2036" customWidth="1"/>
    <col min="8968" max="8968" width="2.109375" style="2036" customWidth="1"/>
    <col min="8969" max="8969" width="23.88671875" style="2036" customWidth="1"/>
    <col min="8970" max="8970" width="2.109375" style="2036" customWidth="1"/>
    <col min="8971" max="8971" width="23.88671875" style="2036" customWidth="1"/>
    <col min="8972" max="8972" width="2.109375" style="2036" customWidth="1"/>
    <col min="8973" max="8973" width="23.88671875" style="2036" customWidth="1"/>
    <col min="8974" max="8974" width="2.109375" style="2036" customWidth="1"/>
    <col min="8975" max="8975" width="23.88671875" style="2036" customWidth="1"/>
    <col min="8976" max="8976" width="2.77734375" style="2036" bestFit="1" customWidth="1"/>
    <col min="8977" max="9215" width="8.88671875" style="2036"/>
    <col min="9216" max="9217" width="8.88671875" style="2036" customWidth="1"/>
    <col min="9218" max="9218" width="10.21875" style="2036" customWidth="1"/>
    <col min="9219" max="9219" width="2.21875" style="2036" customWidth="1"/>
    <col min="9220" max="9220" width="50.44140625" style="2036" customWidth="1"/>
    <col min="9221" max="9221" width="8.88671875" style="2036"/>
    <col min="9222" max="9222" width="2.109375" style="2036" customWidth="1"/>
    <col min="9223" max="9223" width="23.88671875" style="2036" customWidth="1"/>
    <col min="9224" max="9224" width="2.109375" style="2036" customWidth="1"/>
    <col min="9225" max="9225" width="23.88671875" style="2036" customWidth="1"/>
    <col min="9226" max="9226" width="2.109375" style="2036" customWidth="1"/>
    <col min="9227" max="9227" width="23.88671875" style="2036" customWidth="1"/>
    <col min="9228" max="9228" width="2.109375" style="2036" customWidth="1"/>
    <col min="9229" max="9229" width="23.88671875" style="2036" customWidth="1"/>
    <col min="9230" max="9230" width="2.109375" style="2036" customWidth="1"/>
    <col min="9231" max="9231" width="23.88671875" style="2036" customWidth="1"/>
    <col min="9232" max="9232" width="2.77734375" style="2036" bestFit="1" customWidth="1"/>
    <col min="9233" max="9471" width="8.88671875" style="2036"/>
    <col min="9472" max="9473" width="8.88671875" style="2036" customWidth="1"/>
    <col min="9474" max="9474" width="10.21875" style="2036" customWidth="1"/>
    <col min="9475" max="9475" width="2.21875" style="2036" customWidth="1"/>
    <col min="9476" max="9476" width="50.44140625" style="2036" customWidth="1"/>
    <col min="9477" max="9477" width="8.88671875" style="2036"/>
    <col min="9478" max="9478" width="2.109375" style="2036" customWidth="1"/>
    <col min="9479" max="9479" width="23.88671875" style="2036" customWidth="1"/>
    <col min="9480" max="9480" width="2.109375" style="2036" customWidth="1"/>
    <col min="9481" max="9481" width="23.88671875" style="2036" customWidth="1"/>
    <col min="9482" max="9482" width="2.109375" style="2036" customWidth="1"/>
    <col min="9483" max="9483" width="23.88671875" style="2036" customWidth="1"/>
    <col min="9484" max="9484" width="2.109375" style="2036" customWidth="1"/>
    <col min="9485" max="9485" width="23.88671875" style="2036" customWidth="1"/>
    <col min="9486" max="9486" width="2.109375" style="2036" customWidth="1"/>
    <col min="9487" max="9487" width="23.88671875" style="2036" customWidth="1"/>
    <col min="9488" max="9488" width="2.77734375" style="2036" bestFit="1" customWidth="1"/>
    <col min="9489" max="9727" width="8.88671875" style="2036"/>
    <col min="9728" max="9729" width="8.88671875" style="2036" customWidth="1"/>
    <col min="9730" max="9730" width="10.21875" style="2036" customWidth="1"/>
    <col min="9731" max="9731" width="2.21875" style="2036" customWidth="1"/>
    <col min="9732" max="9732" width="50.44140625" style="2036" customWidth="1"/>
    <col min="9733" max="9733" width="8.88671875" style="2036"/>
    <col min="9734" max="9734" width="2.109375" style="2036" customWidth="1"/>
    <col min="9735" max="9735" width="23.88671875" style="2036" customWidth="1"/>
    <col min="9736" max="9736" width="2.109375" style="2036" customWidth="1"/>
    <col min="9737" max="9737" width="23.88671875" style="2036" customWidth="1"/>
    <col min="9738" max="9738" width="2.109375" style="2036" customWidth="1"/>
    <col min="9739" max="9739" width="23.88671875" style="2036" customWidth="1"/>
    <col min="9740" max="9740" width="2.109375" style="2036" customWidth="1"/>
    <col min="9741" max="9741" width="23.88671875" style="2036" customWidth="1"/>
    <col min="9742" max="9742" width="2.109375" style="2036" customWidth="1"/>
    <col min="9743" max="9743" width="23.88671875" style="2036" customWidth="1"/>
    <col min="9744" max="9744" width="2.77734375" style="2036" bestFit="1" customWidth="1"/>
    <col min="9745" max="9983" width="8.88671875" style="2036"/>
    <col min="9984" max="9985" width="8.88671875" style="2036" customWidth="1"/>
    <col min="9986" max="9986" width="10.21875" style="2036" customWidth="1"/>
    <col min="9987" max="9987" width="2.21875" style="2036" customWidth="1"/>
    <col min="9988" max="9988" width="50.44140625" style="2036" customWidth="1"/>
    <col min="9989" max="9989" width="8.88671875" style="2036"/>
    <col min="9990" max="9990" width="2.109375" style="2036" customWidth="1"/>
    <col min="9991" max="9991" width="23.88671875" style="2036" customWidth="1"/>
    <col min="9992" max="9992" width="2.109375" style="2036" customWidth="1"/>
    <col min="9993" max="9993" width="23.88671875" style="2036" customWidth="1"/>
    <col min="9994" max="9994" width="2.109375" style="2036" customWidth="1"/>
    <col min="9995" max="9995" width="23.88671875" style="2036" customWidth="1"/>
    <col min="9996" max="9996" width="2.109375" style="2036" customWidth="1"/>
    <col min="9997" max="9997" width="23.88671875" style="2036" customWidth="1"/>
    <col min="9998" max="9998" width="2.109375" style="2036" customWidth="1"/>
    <col min="9999" max="9999" width="23.88671875" style="2036" customWidth="1"/>
    <col min="10000" max="10000" width="2.77734375" style="2036" bestFit="1" customWidth="1"/>
    <col min="10001" max="10239" width="8.88671875" style="2036"/>
    <col min="10240" max="10241" width="8.88671875" style="2036" customWidth="1"/>
    <col min="10242" max="10242" width="10.21875" style="2036" customWidth="1"/>
    <col min="10243" max="10243" width="2.21875" style="2036" customWidth="1"/>
    <col min="10244" max="10244" width="50.44140625" style="2036" customWidth="1"/>
    <col min="10245" max="10245" width="8.88671875" style="2036"/>
    <col min="10246" max="10246" width="2.109375" style="2036" customWidth="1"/>
    <col min="10247" max="10247" width="23.88671875" style="2036" customWidth="1"/>
    <col min="10248" max="10248" width="2.109375" style="2036" customWidth="1"/>
    <col min="10249" max="10249" width="23.88671875" style="2036" customWidth="1"/>
    <col min="10250" max="10250" width="2.109375" style="2036" customWidth="1"/>
    <col min="10251" max="10251" width="23.88671875" style="2036" customWidth="1"/>
    <col min="10252" max="10252" width="2.109375" style="2036" customWidth="1"/>
    <col min="10253" max="10253" width="23.88671875" style="2036" customWidth="1"/>
    <col min="10254" max="10254" width="2.109375" style="2036" customWidth="1"/>
    <col min="10255" max="10255" width="23.88671875" style="2036" customWidth="1"/>
    <col min="10256" max="10256" width="2.77734375" style="2036" bestFit="1" customWidth="1"/>
    <col min="10257" max="10495" width="8.88671875" style="2036"/>
    <col min="10496" max="10497" width="8.88671875" style="2036" customWidth="1"/>
    <col min="10498" max="10498" width="10.21875" style="2036" customWidth="1"/>
    <col min="10499" max="10499" width="2.21875" style="2036" customWidth="1"/>
    <col min="10500" max="10500" width="50.44140625" style="2036" customWidth="1"/>
    <col min="10501" max="10501" width="8.88671875" style="2036"/>
    <col min="10502" max="10502" width="2.109375" style="2036" customWidth="1"/>
    <col min="10503" max="10503" width="23.88671875" style="2036" customWidth="1"/>
    <col min="10504" max="10504" width="2.109375" style="2036" customWidth="1"/>
    <col min="10505" max="10505" width="23.88671875" style="2036" customWidth="1"/>
    <col min="10506" max="10506" width="2.109375" style="2036" customWidth="1"/>
    <col min="10507" max="10507" width="23.88671875" style="2036" customWidth="1"/>
    <col min="10508" max="10508" width="2.109375" style="2036" customWidth="1"/>
    <col min="10509" max="10509" width="23.88671875" style="2036" customWidth="1"/>
    <col min="10510" max="10510" width="2.109375" style="2036" customWidth="1"/>
    <col min="10511" max="10511" width="23.88671875" style="2036" customWidth="1"/>
    <col min="10512" max="10512" width="2.77734375" style="2036" bestFit="1" customWidth="1"/>
    <col min="10513" max="10751" width="8.88671875" style="2036"/>
    <col min="10752" max="10753" width="8.88671875" style="2036" customWidth="1"/>
    <col min="10754" max="10754" width="10.21875" style="2036" customWidth="1"/>
    <col min="10755" max="10755" width="2.21875" style="2036" customWidth="1"/>
    <col min="10756" max="10756" width="50.44140625" style="2036" customWidth="1"/>
    <col min="10757" max="10757" width="8.88671875" style="2036"/>
    <col min="10758" max="10758" width="2.109375" style="2036" customWidth="1"/>
    <col min="10759" max="10759" width="23.88671875" style="2036" customWidth="1"/>
    <col min="10760" max="10760" width="2.109375" style="2036" customWidth="1"/>
    <col min="10761" max="10761" width="23.88671875" style="2036" customWidth="1"/>
    <col min="10762" max="10762" width="2.109375" style="2036" customWidth="1"/>
    <col min="10763" max="10763" width="23.88671875" style="2036" customWidth="1"/>
    <col min="10764" max="10764" width="2.109375" style="2036" customWidth="1"/>
    <col min="10765" max="10765" width="23.88671875" style="2036" customWidth="1"/>
    <col min="10766" max="10766" width="2.109375" style="2036" customWidth="1"/>
    <col min="10767" max="10767" width="23.88671875" style="2036" customWidth="1"/>
    <col min="10768" max="10768" width="2.77734375" style="2036" bestFit="1" customWidth="1"/>
    <col min="10769" max="11007" width="8.88671875" style="2036"/>
    <col min="11008" max="11009" width="8.88671875" style="2036" customWidth="1"/>
    <col min="11010" max="11010" width="10.21875" style="2036" customWidth="1"/>
    <col min="11011" max="11011" width="2.21875" style="2036" customWidth="1"/>
    <col min="11012" max="11012" width="50.44140625" style="2036" customWidth="1"/>
    <col min="11013" max="11013" width="8.88671875" style="2036"/>
    <col min="11014" max="11014" width="2.109375" style="2036" customWidth="1"/>
    <col min="11015" max="11015" width="23.88671875" style="2036" customWidth="1"/>
    <col min="11016" max="11016" width="2.109375" style="2036" customWidth="1"/>
    <col min="11017" max="11017" width="23.88671875" style="2036" customWidth="1"/>
    <col min="11018" max="11018" width="2.109375" style="2036" customWidth="1"/>
    <col min="11019" max="11019" width="23.88671875" style="2036" customWidth="1"/>
    <col min="11020" max="11020" width="2.109375" style="2036" customWidth="1"/>
    <col min="11021" max="11021" width="23.88671875" style="2036" customWidth="1"/>
    <col min="11022" max="11022" width="2.109375" style="2036" customWidth="1"/>
    <col min="11023" max="11023" width="23.88671875" style="2036" customWidth="1"/>
    <col min="11024" max="11024" width="2.77734375" style="2036" bestFit="1" customWidth="1"/>
    <col min="11025" max="11263" width="8.88671875" style="2036"/>
    <col min="11264" max="11265" width="8.88671875" style="2036" customWidth="1"/>
    <col min="11266" max="11266" width="10.21875" style="2036" customWidth="1"/>
    <col min="11267" max="11267" width="2.21875" style="2036" customWidth="1"/>
    <col min="11268" max="11268" width="50.44140625" style="2036" customWidth="1"/>
    <col min="11269" max="11269" width="8.88671875" style="2036"/>
    <col min="11270" max="11270" width="2.109375" style="2036" customWidth="1"/>
    <col min="11271" max="11271" width="23.88671875" style="2036" customWidth="1"/>
    <col min="11272" max="11272" width="2.109375" style="2036" customWidth="1"/>
    <col min="11273" max="11273" width="23.88671875" style="2036" customWidth="1"/>
    <col min="11274" max="11274" width="2.109375" style="2036" customWidth="1"/>
    <col min="11275" max="11275" width="23.88671875" style="2036" customWidth="1"/>
    <col min="11276" max="11276" width="2.109375" style="2036" customWidth="1"/>
    <col min="11277" max="11277" width="23.88671875" style="2036" customWidth="1"/>
    <col min="11278" max="11278" width="2.109375" style="2036" customWidth="1"/>
    <col min="11279" max="11279" width="23.88671875" style="2036" customWidth="1"/>
    <col min="11280" max="11280" width="2.77734375" style="2036" bestFit="1" customWidth="1"/>
    <col min="11281" max="11519" width="8.88671875" style="2036"/>
    <col min="11520" max="11521" width="8.88671875" style="2036" customWidth="1"/>
    <col min="11522" max="11522" width="10.21875" style="2036" customWidth="1"/>
    <col min="11523" max="11523" width="2.21875" style="2036" customWidth="1"/>
    <col min="11524" max="11524" width="50.44140625" style="2036" customWidth="1"/>
    <col min="11525" max="11525" width="8.88671875" style="2036"/>
    <col min="11526" max="11526" width="2.109375" style="2036" customWidth="1"/>
    <col min="11527" max="11527" width="23.88671875" style="2036" customWidth="1"/>
    <col min="11528" max="11528" width="2.109375" style="2036" customWidth="1"/>
    <col min="11529" max="11529" width="23.88671875" style="2036" customWidth="1"/>
    <col min="11530" max="11530" width="2.109375" style="2036" customWidth="1"/>
    <col min="11531" max="11531" width="23.88671875" style="2036" customWidth="1"/>
    <col min="11532" max="11532" width="2.109375" style="2036" customWidth="1"/>
    <col min="11533" max="11533" width="23.88671875" style="2036" customWidth="1"/>
    <col min="11534" max="11534" width="2.109375" style="2036" customWidth="1"/>
    <col min="11535" max="11535" width="23.88671875" style="2036" customWidth="1"/>
    <col min="11536" max="11536" width="2.77734375" style="2036" bestFit="1" customWidth="1"/>
    <col min="11537" max="11775" width="8.88671875" style="2036"/>
    <col min="11776" max="11777" width="8.88671875" style="2036" customWidth="1"/>
    <col min="11778" max="11778" width="10.21875" style="2036" customWidth="1"/>
    <col min="11779" max="11779" width="2.21875" style="2036" customWidth="1"/>
    <col min="11780" max="11780" width="50.44140625" style="2036" customWidth="1"/>
    <col min="11781" max="11781" width="8.88671875" style="2036"/>
    <col min="11782" max="11782" width="2.109375" style="2036" customWidth="1"/>
    <col min="11783" max="11783" width="23.88671875" style="2036" customWidth="1"/>
    <col min="11784" max="11784" width="2.109375" style="2036" customWidth="1"/>
    <col min="11785" max="11785" width="23.88671875" style="2036" customWidth="1"/>
    <col min="11786" max="11786" width="2.109375" style="2036" customWidth="1"/>
    <col min="11787" max="11787" width="23.88671875" style="2036" customWidth="1"/>
    <col min="11788" max="11788" width="2.109375" style="2036" customWidth="1"/>
    <col min="11789" max="11789" width="23.88671875" style="2036" customWidth="1"/>
    <col min="11790" max="11790" width="2.109375" style="2036" customWidth="1"/>
    <col min="11791" max="11791" width="23.88671875" style="2036" customWidth="1"/>
    <col min="11792" max="11792" width="2.77734375" style="2036" bestFit="1" customWidth="1"/>
    <col min="11793" max="12031" width="8.88671875" style="2036"/>
    <col min="12032" max="12033" width="8.88671875" style="2036" customWidth="1"/>
    <col min="12034" max="12034" width="10.21875" style="2036" customWidth="1"/>
    <col min="12035" max="12035" width="2.21875" style="2036" customWidth="1"/>
    <col min="12036" max="12036" width="50.44140625" style="2036" customWidth="1"/>
    <col min="12037" max="12037" width="8.88671875" style="2036"/>
    <col min="12038" max="12038" width="2.109375" style="2036" customWidth="1"/>
    <col min="12039" max="12039" width="23.88671875" style="2036" customWidth="1"/>
    <col min="12040" max="12040" width="2.109375" style="2036" customWidth="1"/>
    <col min="12041" max="12041" width="23.88671875" style="2036" customWidth="1"/>
    <col min="12042" max="12042" width="2.109375" style="2036" customWidth="1"/>
    <col min="12043" max="12043" width="23.88671875" style="2036" customWidth="1"/>
    <col min="12044" max="12044" width="2.109375" style="2036" customWidth="1"/>
    <col min="12045" max="12045" width="23.88671875" style="2036" customWidth="1"/>
    <col min="12046" max="12046" width="2.109375" style="2036" customWidth="1"/>
    <col min="12047" max="12047" width="23.88671875" style="2036" customWidth="1"/>
    <col min="12048" max="12048" width="2.77734375" style="2036" bestFit="1" customWidth="1"/>
    <col min="12049" max="12287" width="8.88671875" style="2036"/>
    <col min="12288" max="12289" width="8.88671875" style="2036" customWidth="1"/>
    <col min="12290" max="12290" width="10.21875" style="2036" customWidth="1"/>
    <col min="12291" max="12291" width="2.21875" style="2036" customWidth="1"/>
    <col min="12292" max="12292" width="50.44140625" style="2036" customWidth="1"/>
    <col min="12293" max="12293" width="8.88671875" style="2036"/>
    <col min="12294" max="12294" width="2.109375" style="2036" customWidth="1"/>
    <col min="12295" max="12295" width="23.88671875" style="2036" customWidth="1"/>
    <col min="12296" max="12296" width="2.109375" style="2036" customWidth="1"/>
    <col min="12297" max="12297" width="23.88671875" style="2036" customWidth="1"/>
    <col min="12298" max="12298" width="2.109375" style="2036" customWidth="1"/>
    <col min="12299" max="12299" width="23.88671875" style="2036" customWidth="1"/>
    <col min="12300" max="12300" width="2.109375" style="2036" customWidth="1"/>
    <col min="12301" max="12301" width="23.88671875" style="2036" customWidth="1"/>
    <col min="12302" max="12302" width="2.109375" style="2036" customWidth="1"/>
    <col min="12303" max="12303" width="23.88671875" style="2036" customWidth="1"/>
    <col min="12304" max="12304" width="2.77734375" style="2036" bestFit="1" customWidth="1"/>
    <col min="12305" max="12543" width="8.88671875" style="2036"/>
    <col min="12544" max="12545" width="8.88671875" style="2036" customWidth="1"/>
    <col min="12546" max="12546" width="10.21875" style="2036" customWidth="1"/>
    <col min="12547" max="12547" width="2.21875" style="2036" customWidth="1"/>
    <col min="12548" max="12548" width="50.44140625" style="2036" customWidth="1"/>
    <col min="12549" max="12549" width="8.88671875" style="2036"/>
    <col min="12550" max="12550" width="2.109375" style="2036" customWidth="1"/>
    <col min="12551" max="12551" width="23.88671875" style="2036" customWidth="1"/>
    <col min="12552" max="12552" width="2.109375" style="2036" customWidth="1"/>
    <col min="12553" max="12553" width="23.88671875" style="2036" customWidth="1"/>
    <col min="12554" max="12554" width="2.109375" style="2036" customWidth="1"/>
    <col min="12555" max="12555" width="23.88671875" style="2036" customWidth="1"/>
    <col min="12556" max="12556" width="2.109375" style="2036" customWidth="1"/>
    <col min="12557" max="12557" width="23.88671875" style="2036" customWidth="1"/>
    <col min="12558" max="12558" width="2.109375" style="2036" customWidth="1"/>
    <col min="12559" max="12559" width="23.88671875" style="2036" customWidth="1"/>
    <col min="12560" max="12560" width="2.77734375" style="2036" bestFit="1" customWidth="1"/>
    <col min="12561" max="12799" width="8.88671875" style="2036"/>
    <col min="12800" max="12801" width="8.88671875" style="2036" customWidth="1"/>
    <col min="12802" max="12802" width="10.21875" style="2036" customWidth="1"/>
    <col min="12803" max="12803" width="2.21875" style="2036" customWidth="1"/>
    <col min="12804" max="12804" width="50.44140625" style="2036" customWidth="1"/>
    <col min="12805" max="12805" width="8.88671875" style="2036"/>
    <col min="12806" max="12806" width="2.109375" style="2036" customWidth="1"/>
    <col min="12807" max="12807" width="23.88671875" style="2036" customWidth="1"/>
    <col min="12808" max="12808" width="2.109375" style="2036" customWidth="1"/>
    <col min="12809" max="12809" width="23.88671875" style="2036" customWidth="1"/>
    <col min="12810" max="12810" width="2.109375" style="2036" customWidth="1"/>
    <col min="12811" max="12811" width="23.88671875" style="2036" customWidth="1"/>
    <col min="12812" max="12812" width="2.109375" style="2036" customWidth="1"/>
    <col min="12813" max="12813" width="23.88671875" style="2036" customWidth="1"/>
    <col min="12814" max="12814" width="2.109375" style="2036" customWidth="1"/>
    <col min="12815" max="12815" width="23.88671875" style="2036" customWidth="1"/>
    <col min="12816" max="12816" width="2.77734375" style="2036" bestFit="1" customWidth="1"/>
    <col min="12817" max="13055" width="8.88671875" style="2036"/>
    <col min="13056" max="13057" width="8.88671875" style="2036" customWidth="1"/>
    <col min="13058" max="13058" width="10.21875" style="2036" customWidth="1"/>
    <col min="13059" max="13059" width="2.21875" style="2036" customWidth="1"/>
    <col min="13060" max="13060" width="50.44140625" style="2036" customWidth="1"/>
    <col min="13061" max="13061" width="8.88671875" style="2036"/>
    <col min="13062" max="13062" width="2.109375" style="2036" customWidth="1"/>
    <col min="13063" max="13063" width="23.88671875" style="2036" customWidth="1"/>
    <col min="13064" max="13064" width="2.109375" style="2036" customWidth="1"/>
    <col min="13065" max="13065" width="23.88671875" style="2036" customWidth="1"/>
    <col min="13066" max="13066" width="2.109375" style="2036" customWidth="1"/>
    <col min="13067" max="13067" width="23.88671875" style="2036" customWidth="1"/>
    <col min="13068" max="13068" width="2.109375" style="2036" customWidth="1"/>
    <col min="13069" max="13069" width="23.88671875" style="2036" customWidth="1"/>
    <col min="13070" max="13070" width="2.109375" style="2036" customWidth="1"/>
    <col min="13071" max="13071" width="23.88671875" style="2036" customWidth="1"/>
    <col min="13072" max="13072" width="2.77734375" style="2036" bestFit="1" customWidth="1"/>
    <col min="13073" max="13311" width="8.88671875" style="2036"/>
    <col min="13312" max="13313" width="8.88671875" style="2036" customWidth="1"/>
    <col min="13314" max="13314" width="10.21875" style="2036" customWidth="1"/>
    <col min="13315" max="13315" width="2.21875" style="2036" customWidth="1"/>
    <col min="13316" max="13316" width="50.44140625" style="2036" customWidth="1"/>
    <col min="13317" max="13317" width="8.88671875" style="2036"/>
    <col min="13318" max="13318" width="2.109375" style="2036" customWidth="1"/>
    <col min="13319" max="13319" width="23.88671875" style="2036" customWidth="1"/>
    <col min="13320" max="13320" width="2.109375" style="2036" customWidth="1"/>
    <col min="13321" max="13321" width="23.88671875" style="2036" customWidth="1"/>
    <col min="13322" max="13322" width="2.109375" style="2036" customWidth="1"/>
    <col min="13323" max="13323" width="23.88671875" style="2036" customWidth="1"/>
    <col min="13324" max="13324" width="2.109375" style="2036" customWidth="1"/>
    <col min="13325" max="13325" width="23.88671875" style="2036" customWidth="1"/>
    <col min="13326" max="13326" width="2.109375" style="2036" customWidth="1"/>
    <col min="13327" max="13327" width="23.88671875" style="2036" customWidth="1"/>
    <col min="13328" max="13328" width="2.77734375" style="2036" bestFit="1" customWidth="1"/>
    <col min="13329" max="13567" width="8.88671875" style="2036"/>
    <col min="13568" max="13569" width="8.88671875" style="2036" customWidth="1"/>
    <col min="13570" max="13570" width="10.21875" style="2036" customWidth="1"/>
    <col min="13571" max="13571" width="2.21875" style="2036" customWidth="1"/>
    <col min="13572" max="13572" width="50.44140625" style="2036" customWidth="1"/>
    <col min="13573" max="13573" width="8.88671875" style="2036"/>
    <col min="13574" max="13574" width="2.109375" style="2036" customWidth="1"/>
    <col min="13575" max="13575" width="23.88671875" style="2036" customWidth="1"/>
    <col min="13576" max="13576" width="2.109375" style="2036" customWidth="1"/>
    <col min="13577" max="13577" width="23.88671875" style="2036" customWidth="1"/>
    <col min="13578" max="13578" width="2.109375" style="2036" customWidth="1"/>
    <col min="13579" max="13579" width="23.88671875" style="2036" customWidth="1"/>
    <col min="13580" max="13580" width="2.109375" style="2036" customWidth="1"/>
    <col min="13581" max="13581" width="23.88671875" style="2036" customWidth="1"/>
    <col min="13582" max="13582" width="2.109375" style="2036" customWidth="1"/>
    <col min="13583" max="13583" width="23.88671875" style="2036" customWidth="1"/>
    <col min="13584" max="13584" width="2.77734375" style="2036" bestFit="1" customWidth="1"/>
    <col min="13585" max="13823" width="8.88671875" style="2036"/>
    <col min="13824" max="13825" width="8.88671875" style="2036" customWidth="1"/>
    <col min="13826" max="13826" width="10.21875" style="2036" customWidth="1"/>
    <col min="13827" max="13827" width="2.21875" style="2036" customWidth="1"/>
    <col min="13828" max="13828" width="50.44140625" style="2036" customWidth="1"/>
    <col min="13829" max="13829" width="8.88671875" style="2036"/>
    <col min="13830" max="13830" width="2.109375" style="2036" customWidth="1"/>
    <col min="13831" max="13831" width="23.88671875" style="2036" customWidth="1"/>
    <col min="13832" max="13832" width="2.109375" style="2036" customWidth="1"/>
    <col min="13833" max="13833" width="23.88671875" style="2036" customWidth="1"/>
    <col min="13834" max="13834" width="2.109375" style="2036" customWidth="1"/>
    <col min="13835" max="13835" width="23.88671875" style="2036" customWidth="1"/>
    <col min="13836" max="13836" width="2.109375" style="2036" customWidth="1"/>
    <col min="13837" max="13837" width="23.88671875" style="2036" customWidth="1"/>
    <col min="13838" max="13838" width="2.109375" style="2036" customWidth="1"/>
    <col min="13839" max="13839" width="23.88671875" style="2036" customWidth="1"/>
    <col min="13840" max="13840" width="2.77734375" style="2036" bestFit="1" customWidth="1"/>
    <col min="13841" max="14079" width="8.88671875" style="2036"/>
    <col min="14080" max="14081" width="8.88671875" style="2036" customWidth="1"/>
    <col min="14082" max="14082" width="10.21875" style="2036" customWidth="1"/>
    <col min="14083" max="14083" width="2.21875" style="2036" customWidth="1"/>
    <col min="14084" max="14084" width="50.44140625" style="2036" customWidth="1"/>
    <col min="14085" max="14085" width="8.88671875" style="2036"/>
    <col min="14086" max="14086" width="2.109375" style="2036" customWidth="1"/>
    <col min="14087" max="14087" width="23.88671875" style="2036" customWidth="1"/>
    <col min="14088" max="14088" width="2.109375" style="2036" customWidth="1"/>
    <col min="14089" max="14089" width="23.88671875" style="2036" customWidth="1"/>
    <col min="14090" max="14090" width="2.109375" style="2036" customWidth="1"/>
    <col min="14091" max="14091" width="23.88671875" style="2036" customWidth="1"/>
    <col min="14092" max="14092" width="2.109375" style="2036" customWidth="1"/>
    <col min="14093" max="14093" width="23.88671875" style="2036" customWidth="1"/>
    <col min="14094" max="14094" width="2.109375" style="2036" customWidth="1"/>
    <col min="14095" max="14095" width="23.88671875" style="2036" customWidth="1"/>
    <col min="14096" max="14096" width="2.77734375" style="2036" bestFit="1" customWidth="1"/>
    <col min="14097" max="14335" width="8.88671875" style="2036"/>
    <col min="14336" max="14337" width="8.88671875" style="2036" customWidth="1"/>
    <col min="14338" max="14338" width="10.21875" style="2036" customWidth="1"/>
    <col min="14339" max="14339" width="2.21875" style="2036" customWidth="1"/>
    <col min="14340" max="14340" width="50.44140625" style="2036" customWidth="1"/>
    <col min="14341" max="14341" width="8.88671875" style="2036"/>
    <col min="14342" max="14342" width="2.109375" style="2036" customWidth="1"/>
    <col min="14343" max="14343" width="23.88671875" style="2036" customWidth="1"/>
    <col min="14344" max="14344" width="2.109375" style="2036" customWidth="1"/>
    <col min="14345" max="14345" width="23.88671875" style="2036" customWidth="1"/>
    <col min="14346" max="14346" width="2.109375" style="2036" customWidth="1"/>
    <col min="14347" max="14347" width="23.88671875" style="2036" customWidth="1"/>
    <col min="14348" max="14348" width="2.109375" style="2036" customWidth="1"/>
    <col min="14349" max="14349" width="23.88671875" style="2036" customWidth="1"/>
    <col min="14350" max="14350" width="2.109375" style="2036" customWidth="1"/>
    <col min="14351" max="14351" width="23.88671875" style="2036" customWidth="1"/>
    <col min="14352" max="14352" width="2.77734375" style="2036" bestFit="1" customWidth="1"/>
    <col min="14353" max="14591" width="8.88671875" style="2036"/>
    <col min="14592" max="14593" width="8.88671875" style="2036" customWidth="1"/>
    <col min="14594" max="14594" width="10.21875" style="2036" customWidth="1"/>
    <col min="14595" max="14595" width="2.21875" style="2036" customWidth="1"/>
    <col min="14596" max="14596" width="50.44140625" style="2036" customWidth="1"/>
    <col min="14597" max="14597" width="8.88671875" style="2036"/>
    <col min="14598" max="14598" width="2.109375" style="2036" customWidth="1"/>
    <col min="14599" max="14599" width="23.88671875" style="2036" customWidth="1"/>
    <col min="14600" max="14600" width="2.109375" style="2036" customWidth="1"/>
    <col min="14601" max="14601" width="23.88671875" style="2036" customWidth="1"/>
    <col min="14602" max="14602" width="2.109375" style="2036" customWidth="1"/>
    <col min="14603" max="14603" width="23.88671875" style="2036" customWidth="1"/>
    <col min="14604" max="14604" width="2.109375" style="2036" customWidth="1"/>
    <col min="14605" max="14605" width="23.88671875" style="2036" customWidth="1"/>
    <col min="14606" max="14606" width="2.109375" style="2036" customWidth="1"/>
    <col min="14607" max="14607" width="23.88671875" style="2036" customWidth="1"/>
    <col min="14608" max="14608" width="2.77734375" style="2036" bestFit="1" customWidth="1"/>
    <col min="14609" max="14847" width="8.88671875" style="2036"/>
    <col min="14848" max="14849" width="8.88671875" style="2036" customWidth="1"/>
    <col min="14850" max="14850" width="10.21875" style="2036" customWidth="1"/>
    <col min="14851" max="14851" width="2.21875" style="2036" customWidth="1"/>
    <col min="14852" max="14852" width="50.44140625" style="2036" customWidth="1"/>
    <col min="14853" max="14853" width="8.88671875" style="2036"/>
    <col min="14854" max="14854" width="2.109375" style="2036" customWidth="1"/>
    <col min="14855" max="14855" width="23.88671875" style="2036" customWidth="1"/>
    <col min="14856" max="14856" width="2.109375" style="2036" customWidth="1"/>
    <col min="14857" max="14857" width="23.88671875" style="2036" customWidth="1"/>
    <col min="14858" max="14858" width="2.109375" style="2036" customWidth="1"/>
    <col min="14859" max="14859" width="23.88671875" style="2036" customWidth="1"/>
    <col min="14860" max="14860" width="2.109375" style="2036" customWidth="1"/>
    <col min="14861" max="14861" width="23.88671875" style="2036" customWidth="1"/>
    <col min="14862" max="14862" width="2.109375" style="2036" customWidth="1"/>
    <col min="14863" max="14863" width="23.88671875" style="2036" customWidth="1"/>
    <col min="14864" max="14864" width="2.77734375" style="2036" bestFit="1" customWidth="1"/>
    <col min="14865" max="15103" width="8.88671875" style="2036"/>
    <col min="15104" max="15105" width="8.88671875" style="2036" customWidth="1"/>
    <col min="15106" max="15106" width="10.21875" style="2036" customWidth="1"/>
    <col min="15107" max="15107" width="2.21875" style="2036" customWidth="1"/>
    <col min="15108" max="15108" width="50.44140625" style="2036" customWidth="1"/>
    <col min="15109" max="15109" width="8.88671875" style="2036"/>
    <col min="15110" max="15110" width="2.109375" style="2036" customWidth="1"/>
    <col min="15111" max="15111" width="23.88671875" style="2036" customWidth="1"/>
    <col min="15112" max="15112" width="2.109375" style="2036" customWidth="1"/>
    <col min="15113" max="15113" width="23.88671875" style="2036" customWidth="1"/>
    <col min="15114" max="15114" width="2.109375" style="2036" customWidth="1"/>
    <col min="15115" max="15115" width="23.88671875" style="2036" customWidth="1"/>
    <col min="15116" max="15116" width="2.109375" style="2036" customWidth="1"/>
    <col min="15117" max="15117" width="23.88671875" style="2036" customWidth="1"/>
    <col min="15118" max="15118" width="2.109375" style="2036" customWidth="1"/>
    <col min="15119" max="15119" width="23.88671875" style="2036" customWidth="1"/>
    <col min="15120" max="15120" width="2.77734375" style="2036" bestFit="1" customWidth="1"/>
    <col min="15121" max="15359" width="8.88671875" style="2036"/>
    <col min="15360" max="15361" width="8.88671875" style="2036" customWidth="1"/>
    <col min="15362" max="15362" width="10.21875" style="2036" customWidth="1"/>
    <col min="15363" max="15363" width="2.21875" style="2036" customWidth="1"/>
    <col min="15364" max="15364" width="50.44140625" style="2036" customWidth="1"/>
    <col min="15365" max="15365" width="8.88671875" style="2036"/>
    <col min="15366" max="15366" width="2.109375" style="2036" customWidth="1"/>
    <col min="15367" max="15367" width="23.88671875" style="2036" customWidth="1"/>
    <col min="15368" max="15368" width="2.109375" style="2036" customWidth="1"/>
    <col min="15369" max="15369" width="23.88671875" style="2036" customWidth="1"/>
    <col min="15370" max="15370" width="2.109375" style="2036" customWidth="1"/>
    <col min="15371" max="15371" width="23.88671875" style="2036" customWidth="1"/>
    <col min="15372" max="15372" width="2.109375" style="2036" customWidth="1"/>
    <col min="15373" max="15373" width="23.88671875" style="2036" customWidth="1"/>
    <col min="15374" max="15374" width="2.109375" style="2036" customWidth="1"/>
    <col min="15375" max="15375" width="23.88671875" style="2036" customWidth="1"/>
    <col min="15376" max="15376" width="2.77734375" style="2036" bestFit="1" customWidth="1"/>
    <col min="15377" max="15615" width="8.88671875" style="2036"/>
    <col min="15616" max="15617" width="8.88671875" style="2036" customWidth="1"/>
    <col min="15618" max="15618" width="10.21875" style="2036" customWidth="1"/>
    <col min="15619" max="15619" width="2.21875" style="2036" customWidth="1"/>
    <col min="15620" max="15620" width="50.44140625" style="2036" customWidth="1"/>
    <col min="15621" max="15621" width="8.88671875" style="2036"/>
    <col min="15622" max="15622" width="2.109375" style="2036" customWidth="1"/>
    <col min="15623" max="15623" width="23.88671875" style="2036" customWidth="1"/>
    <col min="15624" max="15624" width="2.109375" style="2036" customWidth="1"/>
    <col min="15625" max="15625" width="23.88671875" style="2036" customWidth="1"/>
    <col min="15626" max="15626" width="2.109375" style="2036" customWidth="1"/>
    <col min="15627" max="15627" width="23.88671875" style="2036" customWidth="1"/>
    <col min="15628" max="15628" width="2.109375" style="2036" customWidth="1"/>
    <col min="15629" max="15629" width="23.88671875" style="2036" customWidth="1"/>
    <col min="15630" max="15630" width="2.109375" style="2036" customWidth="1"/>
    <col min="15631" max="15631" width="23.88671875" style="2036" customWidth="1"/>
    <col min="15632" max="15632" width="2.77734375" style="2036" bestFit="1" customWidth="1"/>
    <col min="15633" max="15871" width="8.88671875" style="2036"/>
    <col min="15872" max="15873" width="8.88671875" style="2036" customWidth="1"/>
    <col min="15874" max="15874" width="10.21875" style="2036" customWidth="1"/>
    <col min="15875" max="15875" width="2.21875" style="2036" customWidth="1"/>
    <col min="15876" max="15876" width="50.44140625" style="2036" customWidth="1"/>
    <col min="15877" max="15877" width="8.88671875" style="2036"/>
    <col min="15878" max="15878" width="2.109375" style="2036" customWidth="1"/>
    <col min="15879" max="15879" width="23.88671875" style="2036" customWidth="1"/>
    <col min="15880" max="15880" width="2.109375" style="2036" customWidth="1"/>
    <col min="15881" max="15881" width="23.88671875" style="2036" customWidth="1"/>
    <col min="15882" max="15882" width="2.109375" style="2036" customWidth="1"/>
    <col min="15883" max="15883" width="23.88671875" style="2036" customWidth="1"/>
    <col min="15884" max="15884" width="2.109375" style="2036" customWidth="1"/>
    <col min="15885" max="15885" width="23.88671875" style="2036" customWidth="1"/>
    <col min="15886" max="15886" width="2.109375" style="2036" customWidth="1"/>
    <col min="15887" max="15887" width="23.88671875" style="2036" customWidth="1"/>
    <col min="15888" max="15888" width="2.77734375" style="2036" bestFit="1" customWidth="1"/>
    <col min="15889" max="16127" width="8.88671875" style="2036"/>
    <col min="16128" max="16129" width="8.88671875" style="2036" customWidth="1"/>
    <col min="16130" max="16130" width="10.21875" style="2036" customWidth="1"/>
    <col min="16131" max="16131" width="2.21875" style="2036" customWidth="1"/>
    <col min="16132" max="16132" width="50.44140625" style="2036" customWidth="1"/>
    <col min="16133" max="16133" width="8.88671875" style="2036"/>
    <col min="16134" max="16134" width="2.109375" style="2036" customWidth="1"/>
    <col min="16135" max="16135" width="23.88671875" style="2036" customWidth="1"/>
    <col min="16136" max="16136" width="2.109375" style="2036" customWidth="1"/>
    <col min="16137" max="16137" width="23.88671875" style="2036" customWidth="1"/>
    <col min="16138" max="16138" width="2.109375" style="2036" customWidth="1"/>
    <col min="16139" max="16139" width="23.88671875" style="2036" customWidth="1"/>
    <col min="16140" max="16140" width="2.109375" style="2036" customWidth="1"/>
    <col min="16141" max="16141" width="23.88671875" style="2036" customWidth="1"/>
    <col min="16142" max="16142" width="2.109375" style="2036" customWidth="1"/>
    <col min="16143" max="16143" width="23.88671875" style="2036" customWidth="1"/>
    <col min="16144" max="16144" width="2.77734375" style="2036" bestFit="1" customWidth="1"/>
    <col min="16145" max="16384" width="8.88671875" style="2036"/>
  </cols>
  <sheetData>
    <row r="1" spans="2:17" ht="15.75">
      <c r="B1" s="1577"/>
      <c r="C1" s="2034"/>
      <c r="D1" s="1052" t="s">
        <v>1064</v>
      </c>
      <c r="E1" s="2034"/>
      <c r="F1" s="2035"/>
      <c r="G1" s="1577"/>
      <c r="H1" s="2034"/>
      <c r="I1" s="1577"/>
      <c r="J1" s="2034"/>
      <c r="K1" s="1577"/>
      <c r="L1" s="2034"/>
      <c r="M1" s="1577"/>
      <c r="N1" s="2034"/>
      <c r="P1" s="1152"/>
    </row>
    <row r="2" spans="2:17" ht="15.75">
      <c r="B2" s="1577"/>
      <c r="C2" s="2034"/>
      <c r="D2" s="1577"/>
      <c r="E2" s="2034"/>
      <c r="F2" s="2035"/>
      <c r="G2" s="1577"/>
      <c r="H2" s="2034"/>
      <c r="I2" s="1577"/>
      <c r="J2" s="2034"/>
      <c r="K2" s="1577"/>
      <c r="L2" s="2034"/>
      <c r="M2" s="1577"/>
      <c r="N2" s="2034"/>
      <c r="O2" s="2215" t="s">
        <v>614</v>
      </c>
      <c r="P2" s="1152"/>
    </row>
    <row r="3" spans="2:17" ht="15.75">
      <c r="B3" s="1577"/>
      <c r="C3" s="2034"/>
      <c r="D3" s="1577"/>
      <c r="E3" s="2034"/>
      <c r="F3" s="2035"/>
      <c r="G3" s="1577"/>
      <c r="H3" s="2034"/>
      <c r="I3" s="1577"/>
      <c r="J3" s="2034"/>
      <c r="K3" s="1577"/>
      <c r="L3" s="2034"/>
      <c r="M3" s="1577"/>
      <c r="N3" s="2034"/>
      <c r="O3" s="1153"/>
      <c r="P3" s="1154"/>
    </row>
    <row r="4" spans="2:17" ht="18">
      <c r="B4" s="1077"/>
      <c r="C4" s="1155"/>
      <c r="D4" s="1083" t="s">
        <v>0</v>
      </c>
      <c r="E4" s="1155"/>
      <c r="F4" s="1155"/>
      <c r="G4"/>
      <c r="H4" s="1156"/>
      <c r="I4"/>
      <c r="J4" s="1156"/>
      <c r="K4"/>
      <c r="L4" s="1156"/>
      <c r="M4" s="1079"/>
      <c r="N4" s="1079"/>
      <c r="O4" s="2216"/>
      <c r="P4" s="1157"/>
    </row>
    <row r="5" spans="2:17" ht="18">
      <c r="B5" s="1077"/>
      <c r="C5" s="1155"/>
      <c r="D5" s="1083" t="s">
        <v>943</v>
      </c>
      <c r="E5" s="1155"/>
      <c r="F5" s="1155"/>
      <c r="G5"/>
      <c r="H5" s="1156"/>
      <c r="I5"/>
      <c r="J5" s="1156"/>
      <c r="K5"/>
      <c r="L5" s="1156"/>
      <c r="M5" s="1080"/>
      <c r="N5" s="1080"/>
      <c r="O5" s="1080"/>
      <c r="P5" s="1158"/>
    </row>
    <row r="6" spans="2:17" ht="15.75">
      <c r="B6" s="1077"/>
      <c r="C6" s="1155"/>
      <c r="D6" s="1078"/>
      <c r="E6" s="1155"/>
      <c r="F6" s="1155"/>
      <c r="G6"/>
      <c r="H6" s="1156"/>
      <c r="I6"/>
      <c r="J6" s="1156"/>
      <c r="K6"/>
      <c r="L6" s="1156"/>
      <c r="M6" s="1081"/>
      <c r="N6" s="1081"/>
      <c r="O6" s="1081"/>
      <c r="P6" s="1159"/>
    </row>
    <row r="7" spans="2:17" ht="15.75">
      <c r="B7" s="1077"/>
      <c r="C7" s="1160"/>
      <c r="D7" s="1076"/>
      <c r="E7" s="1161"/>
      <c r="F7" s="1161"/>
      <c r="G7"/>
      <c r="H7" s="1156"/>
      <c r="I7"/>
      <c r="J7" s="1156"/>
      <c r="K7"/>
      <c r="L7" s="1156"/>
      <c r="M7" s="1082"/>
      <c r="N7" s="1082"/>
      <c r="O7" s="1082"/>
      <c r="P7" s="1162"/>
    </row>
    <row r="8" spans="2:17" s="870" customFormat="1" ht="16.5" thickBot="1">
      <c r="B8" s="1084" t="s">
        <v>637</v>
      </c>
      <c r="C8" s="1382"/>
      <c r="D8" s="1085" t="s">
        <v>638</v>
      </c>
      <c r="E8" s="1085"/>
      <c r="F8" s="1085"/>
      <c r="G8" s="3124" t="s">
        <v>1444</v>
      </c>
      <c r="H8" s="1383"/>
      <c r="I8" s="3124" t="s">
        <v>1445</v>
      </c>
      <c r="J8" s="1383"/>
      <c r="K8" s="3124" t="s">
        <v>1447</v>
      </c>
      <c r="L8" s="1383"/>
      <c r="M8" s="1383" t="s">
        <v>639</v>
      </c>
      <c r="N8" s="1384"/>
      <c r="O8" s="3124" t="s">
        <v>1456</v>
      </c>
      <c r="P8" s="1164"/>
    </row>
    <row r="9" spans="2:17" s="870" customFormat="1" ht="15.75">
      <c r="B9" s="1244"/>
      <c r="C9" s="1166"/>
      <c r="D9" s="2673" t="s">
        <v>148</v>
      </c>
      <c r="E9" s="1163"/>
      <c r="F9" s="1163"/>
      <c r="G9" s="1386"/>
      <c r="H9" s="1385"/>
      <c r="I9" s="1386"/>
      <c r="J9" s="1385"/>
      <c r="K9" s="1386"/>
      <c r="L9" s="1385"/>
      <c r="M9" s="1386"/>
      <c r="N9" s="1386"/>
      <c r="O9" s="1386"/>
      <c r="P9" s="1168"/>
    </row>
    <row r="10" spans="2:17" s="870" customFormat="1" ht="15.75">
      <c r="B10" s="2357">
        <v>10050</v>
      </c>
      <c r="C10" s="1244"/>
      <c r="D10" s="1087" t="s">
        <v>1065</v>
      </c>
      <c r="E10"/>
      <c r="F10" s="1387"/>
      <c r="G10" s="3040">
        <v>0</v>
      </c>
      <c r="H10" s="3040"/>
      <c r="I10" s="3040">
        <v>0</v>
      </c>
      <c r="J10" s="3040"/>
      <c r="K10" s="3040">
        <v>0</v>
      </c>
      <c r="L10" s="3040"/>
      <c r="M10" s="3724">
        <f>ROUND(SUM(O10)-SUM(K10),2)</f>
        <v>0</v>
      </c>
      <c r="N10" s="3040"/>
      <c r="O10" s="3040">
        <v>0</v>
      </c>
      <c r="P10" s="1169" t="s">
        <v>940</v>
      </c>
      <c r="Q10" s="3463"/>
    </row>
    <row r="11" spans="2:17" s="870" customFormat="1" ht="16.5" thickBot="1">
      <c r="B11" s="1089"/>
      <c r="C11" s="1166"/>
      <c r="D11" s="2674" t="s">
        <v>640</v>
      </c>
      <c r="E11" s="1163"/>
      <c r="F11" s="1163"/>
      <c r="G11" s="2360">
        <f>ROUND(SUM(G10),2)</f>
        <v>0</v>
      </c>
      <c r="H11" s="2361"/>
      <c r="I11" s="2360">
        <f>ROUND(SUM(I10),2)</f>
        <v>0</v>
      </c>
      <c r="J11" s="2361"/>
      <c r="K11" s="2360">
        <f>ROUND(SUM(K10),2)</f>
        <v>0</v>
      </c>
      <c r="L11" s="2361"/>
      <c r="M11" s="2360">
        <f>ROUND(SUM(M10),2)</f>
        <v>0</v>
      </c>
      <c r="N11" s="2361"/>
      <c r="O11" s="2360">
        <f>ROUND(SUM(O10),2)</f>
        <v>0</v>
      </c>
      <c r="P11" s="1169"/>
      <c r="Q11" s="3463"/>
    </row>
    <row r="12" spans="2:17" s="870" customFormat="1" ht="16.5" thickTop="1">
      <c r="B12" s="1089"/>
      <c r="C12" s="1170"/>
      <c r="D12" s="1091"/>
      <c r="E12" s="1111"/>
      <c r="F12" s="1111"/>
      <c r="G12" s="1110"/>
      <c r="H12" s="1388"/>
      <c r="I12" s="1110"/>
      <c r="J12" s="1388"/>
      <c r="K12" s="1110"/>
      <c r="L12" s="1388"/>
      <c r="M12" s="2361"/>
      <c r="N12" s="1110"/>
      <c r="O12" s="1110"/>
      <c r="P12" s="1103"/>
      <c r="Q12" s="3463"/>
    </row>
    <row r="13" spans="2:17" s="870" customFormat="1" ht="15.75">
      <c r="B13" s="1089"/>
      <c r="C13" s="1166"/>
      <c r="D13" s="2673" t="s">
        <v>641</v>
      </c>
      <c r="E13" s="1163"/>
      <c r="F13" s="1163"/>
      <c r="G13" s="1390"/>
      <c r="H13" s="1389"/>
      <c r="I13" s="1390"/>
      <c r="J13" s="1389"/>
      <c r="K13" s="1390"/>
      <c r="L13" s="1389"/>
      <c r="M13" s="3725"/>
      <c r="N13" s="1390"/>
      <c r="O13" s="1390"/>
      <c r="P13" s="1103"/>
      <c r="Q13" s="3463"/>
    </row>
    <row r="14" spans="2:17" s="870" customFormat="1" ht="15.75">
      <c r="B14" s="2357">
        <v>30051</v>
      </c>
      <c r="C14" s="1577"/>
      <c r="D14" s="1087" t="s">
        <v>642</v>
      </c>
      <c r="E14" s="1577"/>
      <c r="F14" s="1578">
        <v>227042324.13</v>
      </c>
      <c r="G14" s="1578">
        <v>187770601.27000001</v>
      </c>
      <c r="H14" s="1578"/>
      <c r="I14" s="1578">
        <v>177352739.30000001</v>
      </c>
      <c r="J14" s="1578"/>
      <c r="K14" s="1578">
        <v>63536393.329999998</v>
      </c>
      <c r="L14" s="1578"/>
      <c r="M14" s="2037">
        <f>ROUND(SUM(O14)-SUM(K14),2)</f>
        <v>-23689376.100000001</v>
      </c>
      <c r="N14" s="1578"/>
      <c r="O14" s="1578">
        <v>39847017.229999997</v>
      </c>
      <c r="P14" s="1169"/>
      <c r="Q14" s="3463"/>
    </row>
    <row r="15" spans="2:17" s="870" customFormat="1" ht="15.75">
      <c r="B15" s="2357">
        <v>30053</v>
      </c>
      <c r="C15" s="1577"/>
      <c r="D15" s="1087" t="s">
        <v>1415</v>
      </c>
      <c r="E15" s="1577"/>
      <c r="F15" s="1578"/>
      <c r="G15" s="1578">
        <v>3370375.23</v>
      </c>
      <c r="H15" s="1578"/>
      <c r="I15" s="1578">
        <v>4756156.2699999996</v>
      </c>
      <c r="J15" s="1578"/>
      <c r="K15" s="1578">
        <v>1721079.42</v>
      </c>
      <c r="L15" s="1578"/>
      <c r="M15" s="2037">
        <f>ROUND(SUM(O15)-SUM(K15),2)</f>
        <v>293890.33</v>
      </c>
      <c r="N15" s="1578"/>
      <c r="O15" s="1578">
        <v>2014969.75</v>
      </c>
      <c r="P15" s="1169"/>
      <c r="Q15" s="3463"/>
    </row>
    <row r="16" spans="2:17" s="870" customFormat="1" ht="15.75">
      <c r="B16" s="2357">
        <v>30101</v>
      </c>
      <c r="C16" s="1577"/>
      <c r="D16" s="1087" t="s">
        <v>643</v>
      </c>
      <c r="E16" s="1577"/>
      <c r="F16" s="1578">
        <v>0</v>
      </c>
      <c r="G16" s="1578">
        <v>0</v>
      </c>
      <c r="H16" s="1578"/>
      <c r="I16" s="1578">
        <v>0</v>
      </c>
      <c r="J16" s="1578"/>
      <c r="K16" s="1578">
        <v>0</v>
      </c>
      <c r="L16" s="1578"/>
      <c r="M16" s="2037">
        <f>ROUND(SUM(O16)-SUM(K16),2)</f>
        <v>0</v>
      </c>
      <c r="N16" s="1578"/>
      <c r="O16" s="1578">
        <v>0</v>
      </c>
      <c r="P16" s="1103"/>
      <c r="Q16" s="3463"/>
    </row>
    <row r="17" spans="2:17" s="870" customFormat="1" ht="15.75">
      <c r="B17" s="2357">
        <v>30102</v>
      </c>
      <c r="C17" s="1577"/>
      <c r="D17" s="1087" t="s">
        <v>644</v>
      </c>
      <c r="E17" s="1577"/>
      <c r="F17" s="1578">
        <v>0</v>
      </c>
      <c r="G17" s="1578">
        <v>0</v>
      </c>
      <c r="H17" s="1578"/>
      <c r="I17" s="1578">
        <v>0</v>
      </c>
      <c r="J17" s="1578"/>
      <c r="K17" s="1578">
        <v>0</v>
      </c>
      <c r="L17" s="1578"/>
      <c r="M17" s="2037">
        <f t="shared" ref="M17:M52" si="0">ROUND(SUM(O17)-SUM(K17),2)</f>
        <v>0</v>
      </c>
      <c r="N17" s="1578"/>
      <c r="O17" s="1578">
        <v>0</v>
      </c>
      <c r="P17" s="1103"/>
      <c r="Q17" s="3463"/>
    </row>
    <row r="18" spans="2:17" s="870" customFormat="1" ht="15.75">
      <c r="B18" s="2357">
        <v>30103</v>
      </c>
      <c r="C18" s="1577"/>
      <c r="D18" s="1087" t="s">
        <v>645</v>
      </c>
      <c r="E18" s="1577"/>
      <c r="F18" s="1578">
        <v>0</v>
      </c>
      <c r="G18" s="1578">
        <v>0</v>
      </c>
      <c r="H18" s="1578"/>
      <c r="I18" s="1578">
        <v>0</v>
      </c>
      <c r="J18" s="1578"/>
      <c r="K18" s="1578">
        <v>0</v>
      </c>
      <c r="L18" s="1578"/>
      <c r="M18" s="2037">
        <f t="shared" si="0"/>
        <v>0</v>
      </c>
      <c r="N18" s="1578"/>
      <c r="O18" s="1578">
        <v>0</v>
      </c>
      <c r="P18" s="1103"/>
      <c r="Q18" s="3463"/>
    </row>
    <row r="19" spans="2:17" s="870" customFormat="1" ht="15.75">
      <c r="B19" s="2357">
        <v>30104</v>
      </c>
      <c r="C19" s="1577"/>
      <c r="D19" s="1087" t="s">
        <v>646</v>
      </c>
      <c r="E19" s="1577"/>
      <c r="F19" s="1578">
        <v>140390.18</v>
      </c>
      <c r="G19" s="1578">
        <v>0</v>
      </c>
      <c r="H19" s="1578"/>
      <c r="I19" s="1578">
        <v>0</v>
      </c>
      <c r="J19" s="1578"/>
      <c r="K19" s="1578">
        <v>0</v>
      </c>
      <c r="L19" s="1578"/>
      <c r="M19" s="2037">
        <f t="shared" si="0"/>
        <v>0</v>
      </c>
      <c r="N19" s="1578"/>
      <c r="O19" s="1578">
        <v>0</v>
      </c>
      <c r="P19" s="1103"/>
      <c r="Q19" s="3463"/>
    </row>
    <row r="20" spans="2:17" s="870" customFormat="1" ht="15.75">
      <c r="B20" s="2357">
        <v>30105</v>
      </c>
      <c r="C20" s="1577"/>
      <c r="D20" s="1087" t="s">
        <v>647</v>
      </c>
      <c r="E20" s="1577"/>
      <c r="F20" s="1578">
        <v>0</v>
      </c>
      <c r="G20" s="1578">
        <v>0</v>
      </c>
      <c r="H20" s="1578"/>
      <c r="I20" s="1578">
        <v>0</v>
      </c>
      <c r="J20" s="1578"/>
      <c r="K20" s="1578">
        <v>0</v>
      </c>
      <c r="L20" s="1578"/>
      <c r="M20" s="2037">
        <f t="shared" si="0"/>
        <v>0</v>
      </c>
      <c r="N20" s="1578"/>
      <c r="O20" s="1578">
        <v>0</v>
      </c>
      <c r="P20" s="1103"/>
      <c r="Q20" s="3463"/>
    </row>
    <row r="21" spans="2:17" s="870" customFormat="1" ht="15.75">
      <c r="B21" s="2357">
        <v>30106</v>
      </c>
      <c r="C21" s="1577"/>
      <c r="D21" s="1087" t="s">
        <v>1119</v>
      </c>
      <c r="E21" s="1577"/>
      <c r="F21" s="1578">
        <v>0</v>
      </c>
      <c r="G21" s="1578">
        <v>0</v>
      </c>
      <c r="H21" s="1578"/>
      <c r="I21" s="1578">
        <v>0</v>
      </c>
      <c r="J21" s="1578"/>
      <c r="K21" s="1578">
        <v>0</v>
      </c>
      <c r="L21" s="1578"/>
      <c r="M21" s="2037">
        <f t="shared" si="0"/>
        <v>0</v>
      </c>
      <c r="N21" s="1578"/>
      <c r="O21" s="1578">
        <v>0</v>
      </c>
      <c r="P21" s="1103"/>
      <c r="Q21" s="3463"/>
    </row>
    <row r="22" spans="2:17" s="870" customFormat="1" ht="15.75">
      <c r="B22" s="2357">
        <v>30107</v>
      </c>
      <c r="C22" s="1577"/>
      <c r="D22" s="1087" t="s">
        <v>648</v>
      </c>
      <c r="E22" s="1577"/>
      <c r="F22" s="1578">
        <v>0</v>
      </c>
      <c r="G22" s="1578">
        <v>0</v>
      </c>
      <c r="H22" s="1578"/>
      <c r="I22" s="1578">
        <v>0</v>
      </c>
      <c r="J22" s="1578"/>
      <c r="K22" s="1578">
        <v>0</v>
      </c>
      <c r="L22" s="1578"/>
      <c r="M22" s="2037">
        <f t="shared" si="0"/>
        <v>0</v>
      </c>
      <c r="N22" s="1578"/>
      <c r="O22" s="1578">
        <v>0</v>
      </c>
      <c r="P22" s="1103"/>
      <c r="Q22" s="3463"/>
    </row>
    <row r="23" spans="2:17" s="870" customFormat="1" ht="15.75">
      <c r="B23" s="2357">
        <v>30108</v>
      </c>
      <c r="C23" s="1577"/>
      <c r="D23" s="1087" t="s">
        <v>1120</v>
      </c>
      <c r="E23" s="1577"/>
      <c r="F23" s="1578">
        <v>0</v>
      </c>
      <c r="G23" s="1578">
        <v>0</v>
      </c>
      <c r="H23" s="1578"/>
      <c r="I23" s="1578">
        <v>0</v>
      </c>
      <c r="J23" s="1578"/>
      <c r="K23" s="1578">
        <v>0</v>
      </c>
      <c r="L23" s="1578"/>
      <c r="M23" s="2037">
        <f t="shared" si="0"/>
        <v>0</v>
      </c>
      <c r="N23" s="1578"/>
      <c r="O23" s="1578">
        <v>0</v>
      </c>
      <c r="P23" s="1103"/>
      <c r="Q23" s="3463"/>
    </row>
    <row r="24" spans="2:17" s="870" customFormat="1" ht="15.75">
      <c r="B24" s="2357">
        <v>30109</v>
      </c>
      <c r="C24" s="1577"/>
      <c r="D24" s="1087" t="s">
        <v>649</v>
      </c>
      <c r="E24" s="1577"/>
      <c r="F24" s="1578">
        <v>0</v>
      </c>
      <c r="G24" s="1578">
        <v>0</v>
      </c>
      <c r="H24" s="1578"/>
      <c r="I24" s="1578">
        <v>0</v>
      </c>
      <c r="J24" s="1578"/>
      <c r="K24" s="1578">
        <v>0</v>
      </c>
      <c r="L24" s="1578"/>
      <c r="M24" s="2037">
        <f t="shared" si="0"/>
        <v>0</v>
      </c>
      <c r="N24" s="1578"/>
      <c r="O24" s="1578">
        <v>0</v>
      </c>
      <c r="P24" s="1103"/>
      <c r="Q24" s="3463"/>
    </row>
    <row r="25" spans="2:17" s="870" customFormat="1" ht="15.75">
      <c r="B25" s="2357">
        <v>30110</v>
      </c>
      <c r="C25" s="1577"/>
      <c r="D25" s="1087" t="s">
        <v>650</v>
      </c>
      <c r="E25" s="1577"/>
      <c r="F25" s="1578">
        <v>0</v>
      </c>
      <c r="G25" s="1578">
        <v>0</v>
      </c>
      <c r="H25" s="1578"/>
      <c r="I25" s="1578">
        <v>0</v>
      </c>
      <c r="J25" s="1578"/>
      <c r="K25" s="1578">
        <v>0</v>
      </c>
      <c r="L25" s="1578"/>
      <c r="M25" s="2037">
        <f t="shared" si="0"/>
        <v>0</v>
      </c>
      <c r="N25" s="1578"/>
      <c r="O25" s="1578">
        <v>0</v>
      </c>
      <c r="P25" s="1103"/>
      <c r="Q25" s="3463"/>
    </row>
    <row r="26" spans="2:17" s="870" customFormat="1" ht="15.75">
      <c r="B26" s="2357">
        <v>30111</v>
      </c>
      <c r="C26" s="1577"/>
      <c r="D26" s="1087" t="s">
        <v>651</v>
      </c>
      <c r="E26" s="1577"/>
      <c r="F26" s="1578">
        <v>0</v>
      </c>
      <c r="G26" s="1578">
        <v>0</v>
      </c>
      <c r="H26" s="1578"/>
      <c r="I26" s="1578">
        <v>0</v>
      </c>
      <c r="J26" s="1578"/>
      <c r="K26" s="1578">
        <v>0</v>
      </c>
      <c r="L26" s="1578"/>
      <c r="M26" s="2037">
        <f t="shared" si="0"/>
        <v>0</v>
      </c>
      <c r="N26" s="1578"/>
      <c r="O26" s="1578">
        <v>0</v>
      </c>
      <c r="P26" s="1103"/>
      <c r="Q26" s="3463"/>
    </row>
    <row r="27" spans="2:17" s="870" customFormat="1" ht="15.75">
      <c r="B27" s="2357">
        <v>30112</v>
      </c>
      <c r="C27" s="1577"/>
      <c r="D27" s="1087" t="s">
        <v>652</v>
      </c>
      <c r="E27" s="1577"/>
      <c r="F27" s="1578">
        <v>0</v>
      </c>
      <c r="G27" s="1578">
        <v>0</v>
      </c>
      <c r="H27" s="1578"/>
      <c r="I27" s="1578">
        <v>0</v>
      </c>
      <c r="J27" s="1578"/>
      <c r="K27" s="1578">
        <v>0</v>
      </c>
      <c r="L27" s="1578"/>
      <c r="M27" s="2037">
        <f t="shared" si="0"/>
        <v>0</v>
      </c>
      <c r="N27" s="1578"/>
      <c r="O27" s="1578">
        <v>0</v>
      </c>
      <c r="P27" s="1103"/>
      <c r="Q27" s="3463"/>
    </row>
    <row r="28" spans="2:17" s="870" customFormat="1" ht="15.75">
      <c r="B28" s="2357">
        <v>30113</v>
      </c>
      <c r="C28" s="1577"/>
      <c r="D28" s="1087" t="s">
        <v>653</v>
      </c>
      <c r="E28" s="1577"/>
      <c r="F28" s="1578">
        <v>0</v>
      </c>
      <c r="G28" s="1578">
        <v>0</v>
      </c>
      <c r="H28" s="1578"/>
      <c r="I28" s="1578">
        <v>0</v>
      </c>
      <c r="J28" s="1578"/>
      <c r="K28" s="1578">
        <v>0</v>
      </c>
      <c r="L28" s="1578"/>
      <c r="M28" s="2037">
        <f t="shared" si="0"/>
        <v>0</v>
      </c>
      <c r="N28" s="1578"/>
      <c r="O28" s="1578">
        <v>0</v>
      </c>
      <c r="P28" s="1103"/>
      <c r="Q28" s="3463"/>
    </row>
    <row r="29" spans="2:17" s="870" customFormat="1" ht="15.75">
      <c r="B29" s="2357">
        <v>30114</v>
      </c>
      <c r="C29" s="1577"/>
      <c r="D29" s="1087" t="s">
        <v>654</v>
      </c>
      <c r="E29" s="1577"/>
      <c r="F29" s="1578">
        <v>0</v>
      </c>
      <c r="G29" s="1578">
        <v>0</v>
      </c>
      <c r="H29" s="1578"/>
      <c r="I29" s="1578">
        <v>0</v>
      </c>
      <c r="J29" s="1578"/>
      <c r="K29" s="1578">
        <v>0</v>
      </c>
      <c r="L29" s="1578"/>
      <c r="M29" s="2037">
        <f t="shared" si="0"/>
        <v>0</v>
      </c>
      <c r="N29" s="1578"/>
      <c r="O29" s="1578">
        <v>0</v>
      </c>
      <c r="P29" s="1103"/>
      <c r="Q29" s="3463"/>
    </row>
    <row r="30" spans="2:17" s="870" customFormat="1" ht="15.75">
      <c r="B30" s="2357">
        <v>30115</v>
      </c>
      <c r="C30" s="1577"/>
      <c r="D30" s="1087" t="s">
        <v>655</v>
      </c>
      <c r="E30" s="1577"/>
      <c r="F30" s="1578">
        <v>0</v>
      </c>
      <c r="G30" s="1578">
        <v>0</v>
      </c>
      <c r="H30" s="1578"/>
      <c r="I30" s="1578">
        <v>0</v>
      </c>
      <c r="J30" s="1578"/>
      <c r="K30" s="1578">
        <v>0</v>
      </c>
      <c r="L30" s="1578"/>
      <c r="M30" s="2037">
        <f t="shared" si="0"/>
        <v>0</v>
      </c>
      <c r="N30" s="1578"/>
      <c r="O30" s="1578">
        <v>0</v>
      </c>
      <c r="P30" s="1103"/>
      <c r="Q30" s="3463"/>
    </row>
    <row r="31" spans="2:17" s="870" customFormat="1" ht="15.75">
      <c r="B31" s="2357">
        <v>30116</v>
      </c>
      <c r="C31" s="1577"/>
      <c r="D31" s="1087" t="s">
        <v>656</v>
      </c>
      <c r="E31" s="1577"/>
      <c r="F31" s="1578">
        <v>0</v>
      </c>
      <c r="G31" s="1578">
        <v>0</v>
      </c>
      <c r="H31" s="1578"/>
      <c r="I31" s="1578">
        <v>0</v>
      </c>
      <c r="J31" s="1578"/>
      <c r="K31" s="1578">
        <v>0</v>
      </c>
      <c r="L31" s="1578"/>
      <c r="M31" s="2037">
        <f t="shared" si="0"/>
        <v>0</v>
      </c>
      <c r="N31" s="1578"/>
      <c r="O31" s="1578">
        <v>0</v>
      </c>
      <c r="P31" s="1103"/>
      <c r="Q31" s="3463"/>
    </row>
    <row r="32" spans="2:17" s="870" customFormat="1" ht="15.75">
      <c r="B32" s="2357">
        <v>30117</v>
      </c>
      <c r="C32" s="1577"/>
      <c r="D32" s="1087" t="s">
        <v>657</v>
      </c>
      <c r="E32" s="1577"/>
      <c r="F32" s="1578">
        <v>0</v>
      </c>
      <c r="G32" s="1578">
        <v>0</v>
      </c>
      <c r="H32" s="1578"/>
      <c r="I32" s="1578">
        <v>0</v>
      </c>
      <c r="J32" s="1578"/>
      <c r="K32" s="1578">
        <v>0</v>
      </c>
      <c r="L32" s="1578"/>
      <c r="M32" s="2037">
        <f t="shared" si="0"/>
        <v>0</v>
      </c>
      <c r="N32" s="1578"/>
      <c r="O32" s="1578">
        <v>0</v>
      </c>
      <c r="P32" s="1103"/>
      <c r="Q32" s="3463"/>
    </row>
    <row r="33" spans="2:17" s="870" customFormat="1" ht="15.75">
      <c r="B33" s="2357">
        <v>30118</v>
      </c>
      <c r="C33" s="1577"/>
      <c r="D33" s="1087" t="s">
        <v>658</v>
      </c>
      <c r="E33" s="1577"/>
      <c r="F33" s="1578">
        <v>0</v>
      </c>
      <c r="G33" s="1578">
        <v>0</v>
      </c>
      <c r="H33" s="1578"/>
      <c r="I33" s="1578">
        <v>0</v>
      </c>
      <c r="J33" s="1578"/>
      <c r="K33" s="1578">
        <v>0</v>
      </c>
      <c r="L33" s="1578"/>
      <c r="M33" s="2037">
        <f t="shared" si="0"/>
        <v>0</v>
      </c>
      <c r="N33" s="1578"/>
      <c r="O33" s="1578">
        <v>0</v>
      </c>
      <c r="P33" s="1103"/>
      <c r="Q33" s="3463"/>
    </row>
    <row r="34" spans="2:17" s="870" customFormat="1" ht="15.75">
      <c r="B34" s="2357">
        <v>30119</v>
      </c>
      <c r="C34" s="1577"/>
      <c r="D34" s="1087" t="s">
        <v>659</v>
      </c>
      <c r="E34" s="1577"/>
      <c r="F34" s="1578">
        <v>0</v>
      </c>
      <c r="G34" s="1578">
        <v>0</v>
      </c>
      <c r="H34" s="1578"/>
      <c r="I34" s="1578">
        <v>0</v>
      </c>
      <c r="J34" s="1578"/>
      <c r="K34" s="1578">
        <v>0</v>
      </c>
      <c r="L34" s="1578"/>
      <c r="M34" s="2037">
        <f t="shared" si="0"/>
        <v>0</v>
      </c>
      <c r="N34" s="1578"/>
      <c r="O34" s="1578">
        <v>0</v>
      </c>
      <c r="P34" s="1103"/>
      <c r="Q34" s="3463"/>
    </row>
    <row r="35" spans="2:17" s="870" customFormat="1" ht="15.75">
      <c r="B35" s="2357">
        <v>30120</v>
      </c>
      <c r="C35" s="1577"/>
      <c r="D35" s="1087" t="s">
        <v>660</v>
      </c>
      <c r="E35" s="1577"/>
      <c r="F35" s="1578">
        <v>0</v>
      </c>
      <c r="G35" s="1578">
        <v>0</v>
      </c>
      <c r="H35" s="1578"/>
      <c r="I35" s="1578">
        <v>0</v>
      </c>
      <c r="J35" s="1578"/>
      <c r="K35" s="1578">
        <v>0</v>
      </c>
      <c r="L35" s="1578"/>
      <c r="M35" s="2037">
        <f t="shared" si="0"/>
        <v>0</v>
      </c>
      <c r="N35" s="1578"/>
      <c r="O35" s="1578">
        <v>0</v>
      </c>
      <c r="P35" s="1103"/>
      <c r="Q35" s="3463"/>
    </row>
    <row r="36" spans="2:17" s="870" customFormat="1" ht="15.75">
      <c r="B36" s="2357">
        <v>30121</v>
      </c>
      <c r="C36" s="1577"/>
      <c r="D36" s="1087" t="s">
        <v>661</v>
      </c>
      <c r="E36" s="1577"/>
      <c r="F36" s="1578">
        <v>0</v>
      </c>
      <c r="G36" s="1578">
        <v>0</v>
      </c>
      <c r="H36" s="1578"/>
      <c r="I36" s="1578">
        <v>0</v>
      </c>
      <c r="J36" s="1578"/>
      <c r="K36" s="1578">
        <v>0</v>
      </c>
      <c r="L36" s="1578"/>
      <c r="M36" s="2037">
        <f t="shared" si="0"/>
        <v>0</v>
      </c>
      <c r="N36" s="1578"/>
      <c r="O36" s="1578">
        <v>0</v>
      </c>
      <c r="P36" s="1103"/>
      <c r="Q36" s="3463"/>
    </row>
    <row r="37" spans="2:17" s="870" customFormat="1" ht="15.75">
      <c r="B37" s="2357">
        <v>30122</v>
      </c>
      <c r="C37" s="1577"/>
      <c r="D37" s="1087" t="s">
        <v>662</v>
      </c>
      <c r="E37" s="1577"/>
      <c r="F37" s="1578">
        <v>0</v>
      </c>
      <c r="G37" s="1578">
        <v>0</v>
      </c>
      <c r="H37" s="1578"/>
      <c r="I37" s="1578">
        <v>0</v>
      </c>
      <c r="J37" s="1578"/>
      <c r="K37" s="1578">
        <v>0</v>
      </c>
      <c r="L37" s="1578"/>
      <c r="M37" s="2037">
        <f t="shared" si="0"/>
        <v>0</v>
      </c>
      <c r="N37" s="1578"/>
      <c r="O37" s="1578">
        <v>0</v>
      </c>
      <c r="P37" s="1103"/>
      <c r="Q37" s="3463"/>
    </row>
    <row r="38" spans="2:17" s="870" customFormat="1" ht="15.75">
      <c r="B38" s="2357">
        <v>30123</v>
      </c>
      <c r="C38" s="1577"/>
      <c r="D38" s="1087" t="s">
        <v>663</v>
      </c>
      <c r="E38" s="1577"/>
      <c r="F38" s="1578">
        <v>0</v>
      </c>
      <c r="G38" s="1578">
        <v>0</v>
      </c>
      <c r="H38" s="1578"/>
      <c r="I38" s="1578">
        <v>0</v>
      </c>
      <c r="J38" s="1578"/>
      <c r="K38" s="1578">
        <v>0</v>
      </c>
      <c r="L38" s="1578"/>
      <c r="M38" s="2037">
        <f t="shared" si="0"/>
        <v>0</v>
      </c>
      <c r="N38" s="1578"/>
      <c r="O38" s="1578">
        <v>0</v>
      </c>
      <c r="P38" s="1103"/>
      <c r="Q38" s="3463"/>
    </row>
    <row r="39" spans="2:17" s="870" customFormat="1" ht="15.75">
      <c r="B39" s="2357">
        <v>30124</v>
      </c>
      <c r="C39" s="1577"/>
      <c r="D39" s="1087" t="s">
        <v>664</v>
      </c>
      <c r="E39" s="1577"/>
      <c r="F39" s="1578">
        <v>0</v>
      </c>
      <c r="G39" s="1578">
        <v>0</v>
      </c>
      <c r="H39" s="1578"/>
      <c r="I39" s="1578">
        <v>0</v>
      </c>
      <c r="J39" s="1578"/>
      <c r="K39" s="1578">
        <v>0</v>
      </c>
      <c r="L39" s="1578"/>
      <c r="M39" s="2037">
        <f t="shared" si="0"/>
        <v>0</v>
      </c>
      <c r="N39" s="1578"/>
      <c r="O39" s="1578">
        <v>0</v>
      </c>
      <c r="P39" s="1103"/>
      <c r="Q39" s="3463"/>
    </row>
    <row r="40" spans="2:17" s="870" customFormat="1" ht="15.75">
      <c r="B40" s="2357">
        <v>30125</v>
      </c>
      <c r="C40" s="1577"/>
      <c r="D40" s="1087" t="s">
        <v>665</v>
      </c>
      <c r="E40" s="1577"/>
      <c r="F40" s="1578">
        <v>0</v>
      </c>
      <c r="G40" s="1578">
        <v>0</v>
      </c>
      <c r="H40" s="1578"/>
      <c r="I40" s="1578">
        <v>0</v>
      </c>
      <c r="J40" s="1578"/>
      <c r="K40" s="1578">
        <v>0</v>
      </c>
      <c r="L40" s="1578"/>
      <c r="M40" s="2037">
        <f t="shared" si="0"/>
        <v>0</v>
      </c>
      <c r="N40" s="1578"/>
      <c r="O40" s="1578">
        <v>0</v>
      </c>
      <c r="P40" s="1103"/>
      <c r="Q40" s="3463"/>
    </row>
    <row r="41" spans="2:17" s="870" customFormat="1" ht="15.75">
      <c r="B41" s="2357">
        <v>30126</v>
      </c>
      <c r="C41" s="1577"/>
      <c r="D41" s="1087" t="s">
        <v>666</v>
      </c>
      <c r="E41" s="1577"/>
      <c r="F41" s="1578">
        <v>0</v>
      </c>
      <c r="G41" s="1578">
        <v>0</v>
      </c>
      <c r="H41" s="1578"/>
      <c r="I41" s="1578">
        <v>0</v>
      </c>
      <c r="J41" s="1578"/>
      <c r="K41" s="1578">
        <v>0</v>
      </c>
      <c r="L41" s="1578"/>
      <c r="M41" s="2037">
        <f t="shared" si="0"/>
        <v>0</v>
      </c>
      <c r="N41" s="1578"/>
      <c r="O41" s="1578">
        <v>0</v>
      </c>
      <c r="P41" s="1103"/>
      <c r="Q41" s="3463"/>
    </row>
    <row r="42" spans="2:17" s="870" customFormat="1" ht="15.75">
      <c r="B42" s="2357">
        <v>30127</v>
      </c>
      <c r="C42" s="1577"/>
      <c r="D42" s="1087" t="s">
        <v>667</v>
      </c>
      <c r="E42" s="1577"/>
      <c r="F42" s="1578">
        <v>0</v>
      </c>
      <c r="G42" s="1578">
        <v>0</v>
      </c>
      <c r="H42" s="1578"/>
      <c r="I42" s="1578">
        <v>0</v>
      </c>
      <c r="J42" s="1578"/>
      <c r="K42" s="1578">
        <v>0</v>
      </c>
      <c r="L42" s="1578"/>
      <c r="M42" s="2037">
        <f t="shared" si="0"/>
        <v>0</v>
      </c>
      <c r="N42" s="1578"/>
      <c r="O42" s="1578">
        <v>0</v>
      </c>
      <c r="P42" s="1103"/>
      <c r="Q42" s="3463"/>
    </row>
    <row r="43" spans="2:17" s="870" customFormat="1" ht="15.75">
      <c r="B43" s="2357">
        <v>30128</v>
      </c>
      <c r="C43" s="1577"/>
      <c r="D43" s="1087" t="s">
        <v>668</v>
      </c>
      <c r="E43" s="1577"/>
      <c r="F43" s="1578">
        <v>0</v>
      </c>
      <c r="G43" s="1578">
        <v>0</v>
      </c>
      <c r="H43" s="1578"/>
      <c r="I43" s="1578">
        <v>0</v>
      </c>
      <c r="J43" s="1578"/>
      <c r="K43" s="1578">
        <v>0</v>
      </c>
      <c r="L43" s="1578"/>
      <c r="M43" s="2037">
        <f t="shared" si="0"/>
        <v>0</v>
      </c>
      <c r="N43" s="1578"/>
      <c r="O43" s="1578">
        <v>0</v>
      </c>
      <c r="P43" s="1103"/>
      <c r="Q43" s="3463"/>
    </row>
    <row r="44" spans="2:17" s="870" customFormat="1" ht="15.75">
      <c r="B44" s="2357">
        <v>30129</v>
      </c>
      <c r="C44" s="1577"/>
      <c r="D44" s="1087" t="s">
        <v>669</v>
      </c>
      <c r="E44" s="1577"/>
      <c r="F44" s="1578">
        <v>0</v>
      </c>
      <c r="G44" s="1578">
        <v>0</v>
      </c>
      <c r="H44" s="1578"/>
      <c r="I44" s="1578">
        <v>0</v>
      </c>
      <c r="J44" s="1578"/>
      <c r="K44" s="1578">
        <v>0</v>
      </c>
      <c r="L44" s="1578"/>
      <c r="M44" s="2037">
        <f t="shared" si="0"/>
        <v>0</v>
      </c>
      <c r="N44" s="1578"/>
      <c r="O44" s="1578">
        <v>0</v>
      </c>
      <c r="P44" s="1103"/>
      <c r="Q44" s="3463"/>
    </row>
    <row r="45" spans="2:17" s="870" customFormat="1" ht="15.75">
      <c r="B45" s="2357">
        <v>30130</v>
      </c>
      <c r="C45" s="1577"/>
      <c r="D45" s="1087" t="s">
        <v>670</v>
      </c>
      <c r="E45" s="1577"/>
      <c r="F45" s="1578">
        <v>0</v>
      </c>
      <c r="G45" s="1578">
        <v>0</v>
      </c>
      <c r="H45" s="1578"/>
      <c r="I45" s="1578">
        <v>0</v>
      </c>
      <c r="J45" s="1578"/>
      <c r="K45" s="1578">
        <v>0</v>
      </c>
      <c r="L45" s="1578"/>
      <c r="M45" s="2037">
        <f t="shared" si="0"/>
        <v>0</v>
      </c>
      <c r="N45" s="1578"/>
      <c r="O45" s="1578">
        <v>0</v>
      </c>
      <c r="P45" s="1103"/>
      <c r="Q45" s="3463"/>
    </row>
    <row r="46" spans="2:17" s="870" customFormat="1" ht="15.75">
      <c r="B46" s="2357">
        <v>30131</v>
      </c>
      <c r="C46" s="1577"/>
      <c r="D46" s="1087" t="s">
        <v>671</v>
      </c>
      <c r="E46" s="1577"/>
      <c r="F46" s="1578">
        <v>0</v>
      </c>
      <c r="G46" s="1578">
        <v>0</v>
      </c>
      <c r="H46" s="1578"/>
      <c r="I46" s="1578">
        <v>0</v>
      </c>
      <c r="J46" s="1578"/>
      <c r="K46" s="1578">
        <v>0</v>
      </c>
      <c r="L46" s="1578"/>
      <c r="M46" s="2037">
        <f t="shared" si="0"/>
        <v>0</v>
      </c>
      <c r="N46" s="1578"/>
      <c r="O46" s="1578">
        <v>0</v>
      </c>
      <c r="P46" s="1103"/>
      <c r="Q46" s="3463"/>
    </row>
    <row r="47" spans="2:17" s="870" customFormat="1" ht="15.75">
      <c r="B47" s="2357">
        <v>30132</v>
      </c>
      <c r="C47" s="1577"/>
      <c r="D47" s="1087" t="s">
        <v>672</v>
      </c>
      <c r="E47" s="1577"/>
      <c r="F47" s="1578">
        <v>0</v>
      </c>
      <c r="G47" s="1578">
        <v>0</v>
      </c>
      <c r="H47" s="1578"/>
      <c r="I47" s="1578">
        <v>0</v>
      </c>
      <c r="J47" s="1578"/>
      <c r="K47" s="1578">
        <v>0</v>
      </c>
      <c r="L47" s="1578"/>
      <c r="M47" s="2037">
        <f t="shared" si="0"/>
        <v>0</v>
      </c>
      <c r="N47" s="1578"/>
      <c r="O47" s="1578">
        <v>0</v>
      </c>
      <c r="P47" s="1103"/>
      <c r="Q47" s="3463"/>
    </row>
    <row r="48" spans="2:17" s="870" customFormat="1" ht="15.75">
      <c r="B48" s="2357">
        <v>30133</v>
      </c>
      <c r="C48" s="1577"/>
      <c r="D48" s="1087" t="s">
        <v>673</v>
      </c>
      <c r="E48" s="1577"/>
      <c r="F48" s="1578">
        <v>0</v>
      </c>
      <c r="G48" s="1578">
        <v>0</v>
      </c>
      <c r="H48" s="1578"/>
      <c r="I48" s="1578">
        <v>0</v>
      </c>
      <c r="J48" s="1578"/>
      <c r="K48" s="1578">
        <v>0</v>
      </c>
      <c r="L48" s="1578"/>
      <c r="M48" s="2037">
        <f t="shared" si="0"/>
        <v>0</v>
      </c>
      <c r="N48" s="1578"/>
      <c r="O48" s="1578">
        <v>0</v>
      </c>
      <c r="P48" s="1103"/>
      <c r="Q48" s="3463"/>
    </row>
    <row r="49" spans="2:17" s="870" customFormat="1" ht="15.75">
      <c r="B49" s="2357">
        <v>30134</v>
      </c>
      <c r="C49" s="1577"/>
      <c r="D49" s="1087" t="s">
        <v>674</v>
      </c>
      <c r="E49" s="1577"/>
      <c r="F49" s="1578">
        <v>0</v>
      </c>
      <c r="G49" s="1578">
        <v>0</v>
      </c>
      <c r="H49" s="1578"/>
      <c r="I49" s="1578">
        <v>0</v>
      </c>
      <c r="J49" s="1578"/>
      <c r="K49" s="1578">
        <v>0</v>
      </c>
      <c r="L49" s="1578"/>
      <c r="M49" s="2037">
        <f t="shared" si="0"/>
        <v>0</v>
      </c>
      <c r="N49" s="1578"/>
      <c r="O49" s="1578">
        <v>0</v>
      </c>
      <c r="P49" s="1103"/>
      <c r="Q49" s="3463"/>
    </row>
    <row r="50" spans="2:17" s="870" customFormat="1" ht="15.75">
      <c r="B50" s="2357">
        <v>30135</v>
      </c>
      <c r="C50" s="1577"/>
      <c r="D50" s="1087" t="s">
        <v>675</v>
      </c>
      <c r="E50" s="1577"/>
      <c r="F50" s="1578">
        <v>0</v>
      </c>
      <c r="G50" s="1578">
        <v>0</v>
      </c>
      <c r="H50" s="1578"/>
      <c r="I50" s="1578">
        <v>0</v>
      </c>
      <c r="J50" s="1578"/>
      <c r="K50" s="1578">
        <v>0</v>
      </c>
      <c r="L50" s="1578"/>
      <c r="M50" s="2037">
        <f t="shared" si="0"/>
        <v>0</v>
      </c>
      <c r="N50" s="1578"/>
      <c r="O50" s="1578">
        <v>0</v>
      </c>
      <c r="P50" s="1103"/>
      <c r="Q50" s="3463"/>
    </row>
    <row r="51" spans="2:17" s="870" customFormat="1" ht="15.75">
      <c r="B51" s="2357">
        <v>30136</v>
      </c>
      <c r="C51" s="1577"/>
      <c r="D51" s="1087" t="s">
        <v>676</v>
      </c>
      <c r="E51" s="1577"/>
      <c r="F51" s="1578">
        <v>0</v>
      </c>
      <c r="G51" s="1578">
        <v>0</v>
      </c>
      <c r="H51" s="1578"/>
      <c r="I51" s="1578">
        <v>0</v>
      </c>
      <c r="J51" s="1578"/>
      <c r="K51" s="1578">
        <v>0</v>
      </c>
      <c r="L51" s="1578"/>
      <c r="M51" s="2037">
        <f t="shared" si="0"/>
        <v>0</v>
      </c>
      <c r="N51" s="1578"/>
      <c r="O51" s="1578">
        <v>0</v>
      </c>
      <c r="P51" s="1103"/>
      <c r="Q51" s="3463"/>
    </row>
    <row r="52" spans="2:17" s="870" customFormat="1" ht="15.75">
      <c r="B52" s="2357">
        <v>30137</v>
      </c>
      <c r="C52" s="1577"/>
      <c r="D52" s="1087" t="s">
        <v>677</v>
      </c>
      <c r="E52" s="1577"/>
      <c r="F52" s="1578">
        <v>2867.69</v>
      </c>
      <c r="G52" s="1578">
        <v>0</v>
      </c>
      <c r="H52" s="1578"/>
      <c r="I52" s="1578">
        <v>0</v>
      </c>
      <c r="J52" s="1578"/>
      <c r="K52" s="1578">
        <v>0</v>
      </c>
      <c r="L52" s="1578"/>
      <c r="M52" s="2037">
        <f t="shared" si="0"/>
        <v>0</v>
      </c>
      <c r="N52" s="1578"/>
      <c r="O52" s="1578">
        <v>0</v>
      </c>
      <c r="P52" s="1103"/>
      <c r="Q52" s="3463"/>
    </row>
    <row r="53" spans="2:17" s="870" customFormat="1" ht="15.75">
      <c r="B53" s="2357">
        <v>30138</v>
      </c>
      <c r="C53" s="1577"/>
      <c r="D53" s="1087" t="s">
        <v>678</v>
      </c>
      <c r="E53" s="1577"/>
      <c r="F53" s="1578">
        <v>0</v>
      </c>
      <c r="G53" s="1578">
        <v>0</v>
      </c>
      <c r="H53" s="1578"/>
      <c r="I53" s="1578">
        <v>0</v>
      </c>
      <c r="J53" s="1578"/>
      <c r="K53" s="1578">
        <v>0</v>
      </c>
      <c r="L53" s="1578"/>
      <c r="M53" s="2037">
        <f t="shared" ref="M53:M75" si="1">ROUND(SUM(O53)-SUM(K53),2)</f>
        <v>0</v>
      </c>
      <c r="N53" s="1578"/>
      <c r="O53" s="1578">
        <v>0</v>
      </c>
      <c r="P53" s="1103"/>
      <c r="Q53" s="3463"/>
    </row>
    <row r="54" spans="2:17" s="870" customFormat="1" ht="15.75">
      <c r="B54" s="2357">
        <v>30139</v>
      </c>
      <c r="C54" s="1577"/>
      <c r="D54" s="1087" t="s">
        <v>679</v>
      </c>
      <c r="E54" s="1577"/>
      <c r="F54" s="1578">
        <v>0</v>
      </c>
      <c r="G54" s="1578">
        <v>0</v>
      </c>
      <c r="H54" s="1578"/>
      <c r="I54" s="1578">
        <v>0</v>
      </c>
      <c r="J54" s="1578"/>
      <c r="K54" s="1578">
        <v>0</v>
      </c>
      <c r="L54" s="1578"/>
      <c r="M54" s="2037">
        <f t="shared" si="1"/>
        <v>0</v>
      </c>
      <c r="N54" s="1578"/>
      <c r="O54" s="1578">
        <v>0</v>
      </c>
      <c r="P54" s="1103"/>
      <c r="Q54" s="3463"/>
    </row>
    <row r="55" spans="2:17" s="870" customFormat="1" ht="15.75">
      <c r="B55" s="2357">
        <v>30140</v>
      </c>
      <c r="C55" s="1577"/>
      <c r="D55" s="1087" t="s">
        <v>680</v>
      </c>
      <c r="E55" s="1577"/>
      <c r="F55" s="1578">
        <v>0</v>
      </c>
      <c r="G55" s="1578">
        <v>0</v>
      </c>
      <c r="H55" s="1578"/>
      <c r="I55" s="1578">
        <v>0</v>
      </c>
      <c r="J55" s="1578"/>
      <c r="K55" s="1578">
        <v>0</v>
      </c>
      <c r="L55" s="1578"/>
      <c r="M55" s="2037">
        <f t="shared" si="1"/>
        <v>0</v>
      </c>
      <c r="N55" s="1578"/>
      <c r="O55" s="1578">
        <v>0</v>
      </c>
      <c r="P55" s="1103"/>
      <c r="Q55" s="3463"/>
    </row>
    <row r="56" spans="2:17" s="870" customFormat="1" ht="15.75">
      <c r="B56" s="2357">
        <v>30141</v>
      </c>
      <c r="C56" s="1577"/>
      <c r="D56" s="1087" t="s">
        <v>681</v>
      </c>
      <c r="E56" s="1577"/>
      <c r="F56" s="1578">
        <v>0</v>
      </c>
      <c r="G56" s="1578">
        <v>0</v>
      </c>
      <c r="H56" s="1578"/>
      <c r="I56" s="1578">
        <v>0</v>
      </c>
      <c r="J56" s="1578"/>
      <c r="K56" s="1578">
        <v>0</v>
      </c>
      <c r="L56" s="1578"/>
      <c r="M56" s="2037">
        <f t="shared" si="1"/>
        <v>0</v>
      </c>
      <c r="N56" s="1578"/>
      <c r="O56" s="1578">
        <v>0</v>
      </c>
      <c r="P56" s="1103"/>
      <c r="Q56" s="3463"/>
    </row>
    <row r="57" spans="2:17" s="870" customFormat="1" ht="15.75">
      <c r="B57" s="2357">
        <v>30142</v>
      </c>
      <c r="C57" s="1577"/>
      <c r="D57" s="1087" t="s">
        <v>682</v>
      </c>
      <c r="E57" s="1577"/>
      <c r="F57" s="1578">
        <v>0</v>
      </c>
      <c r="G57" s="1578">
        <v>0</v>
      </c>
      <c r="H57" s="1578"/>
      <c r="I57" s="1578">
        <v>0</v>
      </c>
      <c r="J57" s="1578"/>
      <c r="K57" s="1578">
        <v>0</v>
      </c>
      <c r="L57" s="1578"/>
      <c r="M57" s="2037">
        <f t="shared" si="1"/>
        <v>0</v>
      </c>
      <c r="N57" s="1578"/>
      <c r="O57" s="1578">
        <v>0</v>
      </c>
      <c r="P57" s="1103"/>
      <c r="Q57" s="3463"/>
    </row>
    <row r="58" spans="2:17" s="870" customFormat="1" ht="15.75">
      <c r="B58" s="2357">
        <v>30143</v>
      </c>
      <c r="C58" s="1577"/>
      <c r="D58" s="1087" t="s">
        <v>683</v>
      </c>
      <c r="E58" s="1577"/>
      <c r="F58" s="1578">
        <v>0</v>
      </c>
      <c r="G58" s="1578">
        <v>0</v>
      </c>
      <c r="H58" s="1578"/>
      <c r="I58" s="1578">
        <v>0</v>
      </c>
      <c r="J58" s="1578"/>
      <c r="K58" s="1578">
        <v>0</v>
      </c>
      <c r="L58" s="1578"/>
      <c r="M58" s="2037">
        <f t="shared" si="1"/>
        <v>0</v>
      </c>
      <c r="N58" s="1578"/>
      <c r="O58" s="1578">
        <v>0</v>
      </c>
      <c r="P58" s="1103"/>
      <c r="Q58" s="3463"/>
    </row>
    <row r="59" spans="2:17" s="870" customFormat="1" ht="15.75">
      <c r="B59" s="2357">
        <v>30144</v>
      </c>
      <c r="C59" s="1577"/>
      <c r="D59" s="1087" t="s">
        <v>684</v>
      </c>
      <c r="E59" s="1577"/>
      <c r="F59" s="1578">
        <v>0</v>
      </c>
      <c r="G59" s="1578">
        <v>0</v>
      </c>
      <c r="H59" s="1578"/>
      <c r="I59" s="1578">
        <v>0</v>
      </c>
      <c r="J59" s="1578"/>
      <c r="K59" s="1578">
        <v>0</v>
      </c>
      <c r="L59" s="1578"/>
      <c r="M59" s="2037">
        <f t="shared" si="1"/>
        <v>0</v>
      </c>
      <c r="N59" s="1578"/>
      <c r="O59" s="1578">
        <v>0</v>
      </c>
      <c r="P59" s="1103"/>
      <c r="Q59" s="3463"/>
    </row>
    <row r="60" spans="2:17" s="870" customFormat="1" ht="15.75">
      <c r="B60" s="2357">
        <v>30145</v>
      </c>
      <c r="C60" s="1577"/>
      <c r="D60" s="1087" t="s">
        <v>685</v>
      </c>
      <c r="E60" s="1577"/>
      <c r="F60" s="1578">
        <v>0</v>
      </c>
      <c r="G60" s="1578">
        <v>0</v>
      </c>
      <c r="H60" s="1578"/>
      <c r="I60" s="1578">
        <v>0</v>
      </c>
      <c r="J60" s="1578"/>
      <c r="K60" s="1578">
        <v>0</v>
      </c>
      <c r="L60" s="1578"/>
      <c r="M60" s="2037">
        <f t="shared" si="1"/>
        <v>0</v>
      </c>
      <c r="N60" s="1578"/>
      <c r="O60" s="1578">
        <v>0</v>
      </c>
      <c r="P60" s="1103"/>
      <c r="Q60" s="3463"/>
    </row>
    <row r="61" spans="2:17" s="870" customFormat="1" ht="15.75">
      <c r="B61" s="2357">
        <v>30146</v>
      </c>
      <c r="C61" s="1577"/>
      <c r="D61" s="1087" t="s">
        <v>686</v>
      </c>
      <c r="E61" s="1577"/>
      <c r="F61" s="1578">
        <v>0</v>
      </c>
      <c r="G61" s="1578">
        <v>0</v>
      </c>
      <c r="H61" s="1578"/>
      <c r="I61" s="1578">
        <v>0</v>
      </c>
      <c r="J61" s="1578"/>
      <c r="K61" s="1578">
        <v>0</v>
      </c>
      <c r="L61" s="1578"/>
      <c r="M61" s="2037">
        <f t="shared" si="1"/>
        <v>0</v>
      </c>
      <c r="N61" s="1578"/>
      <c r="O61" s="1578">
        <v>0</v>
      </c>
      <c r="P61" s="1103"/>
      <c r="Q61" s="3463"/>
    </row>
    <row r="62" spans="2:17" s="870" customFormat="1" ht="15.75">
      <c r="B62" s="2357">
        <v>30147</v>
      </c>
      <c r="C62" s="1577"/>
      <c r="D62" s="1087" t="s">
        <v>687</v>
      </c>
      <c r="E62" s="1577"/>
      <c r="F62" s="1578">
        <v>0</v>
      </c>
      <c r="G62" s="1578">
        <v>0</v>
      </c>
      <c r="H62" s="1578"/>
      <c r="I62" s="1578">
        <v>0</v>
      </c>
      <c r="J62" s="1578"/>
      <c r="K62" s="1578">
        <v>0</v>
      </c>
      <c r="L62" s="1578"/>
      <c r="M62" s="2037">
        <f t="shared" si="1"/>
        <v>0</v>
      </c>
      <c r="N62" s="1578"/>
      <c r="O62" s="1578">
        <v>0</v>
      </c>
      <c r="P62" s="1103"/>
      <c r="Q62" s="3463"/>
    </row>
    <row r="63" spans="2:17" s="870" customFormat="1" ht="15.75">
      <c r="B63" s="2357">
        <v>30148</v>
      </c>
      <c r="C63" s="1577"/>
      <c r="D63" s="1087" t="s">
        <v>688</v>
      </c>
      <c r="E63" s="1577"/>
      <c r="F63" s="1578">
        <v>0</v>
      </c>
      <c r="G63" s="1578">
        <v>0</v>
      </c>
      <c r="H63" s="1578"/>
      <c r="I63" s="1578">
        <v>0</v>
      </c>
      <c r="J63" s="1578"/>
      <c r="K63" s="1578">
        <v>0</v>
      </c>
      <c r="L63" s="1578"/>
      <c r="M63" s="2037">
        <f t="shared" si="1"/>
        <v>0</v>
      </c>
      <c r="N63" s="1578"/>
      <c r="O63" s="1578">
        <v>0</v>
      </c>
      <c r="P63" s="1103"/>
      <c r="Q63" s="3463"/>
    </row>
    <row r="64" spans="2:17" s="870" customFormat="1" ht="15.75">
      <c r="B64" s="2357">
        <v>30149</v>
      </c>
      <c r="C64" s="1577"/>
      <c r="D64" s="1087" t="s">
        <v>689</v>
      </c>
      <c r="E64" s="1577"/>
      <c r="F64" s="1578">
        <v>0</v>
      </c>
      <c r="G64" s="1578">
        <v>0</v>
      </c>
      <c r="H64" s="1578"/>
      <c r="I64" s="1578">
        <v>0</v>
      </c>
      <c r="J64" s="1578"/>
      <c r="K64" s="1578">
        <v>0</v>
      </c>
      <c r="L64" s="1578"/>
      <c r="M64" s="2037">
        <f t="shared" si="1"/>
        <v>0</v>
      </c>
      <c r="N64" s="1578"/>
      <c r="O64" s="1578">
        <v>0</v>
      </c>
      <c r="P64" s="1103"/>
      <c r="Q64" s="3463"/>
    </row>
    <row r="65" spans="2:17" s="870" customFormat="1" ht="15.75">
      <c r="B65" s="2357">
        <v>30150</v>
      </c>
      <c r="C65" s="1577"/>
      <c r="D65" s="1087" t="s">
        <v>690</v>
      </c>
      <c r="E65" s="1577"/>
      <c r="F65" s="1578">
        <v>0</v>
      </c>
      <c r="G65" s="1578">
        <v>0</v>
      </c>
      <c r="H65" s="1578"/>
      <c r="I65" s="1578">
        <v>0</v>
      </c>
      <c r="J65" s="1578"/>
      <c r="K65" s="1578">
        <v>0</v>
      </c>
      <c r="L65" s="1578"/>
      <c r="M65" s="2037">
        <f t="shared" si="1"/>
        <v>0</v>
      </c>
      <c r="N65" s="1578"/>
      <c r="O65" s="1578">
        <v>0</v>
      </c>
      <c r="P65" s="1103"/>
      <c r="Q65" s="3463"/>
    </row>
    <row r="66" spans="2:17" s="870" customFormat="1" ht="15.75">
      <c r="B66" s="2357">
        <v>30151</v>
      </c>
      <c r="C66" s="1577"/>
      <c r="D66" s="1087" t="s">
        <v>691</v>
      </c>
      <c r="E66" s="1577"/>
      <c r="F66" s="1578">
        <v>0</v>
      </c>
      <c r="G66" s="1578">
        <v>0</v>
      </c>
      <c r="H66" s="1578"/>
      <c r="I66" s="1578">
        <v>0</v>
      </c>
      <c r="J66" s="1578"/>
      <c r="K66" s="1578">
        <v>0</v>
      </c>
      <c r="L66" s="1578"/>
      <c r="M66" s="2037">
        <f t="shared" si="1"/>
        <v>0</v>
      </c>
      <c r="N66" s="1578"/>
      <c r="O66" s="1578">
        <v>0</v>
      </c>
      <c r="P66" s="1103"/>
      <c r="Q66" s="3463"/>
    </row>
    <row r="67" spans="2:17" s="870" customFormat="1" ht="15.75">
      <c r="B67" s="2357">
        <v>30152</v>
      </c>
      <c r="C67" s="1577"/>
      <c r="D67" s="1087" t="s">
        <v>692</v>
      </c>
      <c r="E67" s="1577"/>
      <c r="F67" s="1578">
        <v>0</v>
      </c>
      <c r="G67" s="1578">
        <v>0</v>
      </c>
      <c r="H67" s="1578"/>
      <c r="I67" s="1578">
        <v>0</v>
      </c>
      <c r="J67" s="1578"/>
      <c r="K67" s="1578">
        <v>0</v>
      </c>
      <c r="L67" s="1578"/>
      <c r="M67" s="2037">
        <f t="shared" si="1"/>
        <v>0</v>
      </c>
      <c r="N67" s="1578"/>
      <c r="O67" s="1578">
        <v>0</v>
      </c>
      <c r="P67" s="1103"/>
      <c r="Q67" s="3463"/>
    </row>
    <row r="68" spans="2:17" s="870" customFormat="1" ht="15.75">
      <c r="B68" s="2357">
        <v>30153</v>
      </c>
      <c r="C68" s="1577"/>
      <c r="D68" s="1087" t="s">
        <v>693</v>
      </c>
      <c r="E68" s="1577"/>
      <c r="F68" s="1578">
        <v>0</v>
      </c>
      <c r="G68" s="1578">
        <v>0</v>
      </c>
      <c r="H68" s="1578"/>
      <c r="I68" s="1578">
        <v>0</v>
      </c>
      <c r="J68" s="1578"/>
      <c r="K68" s="1578">
        <v>0</v>
      </c>
      <c r="L68" s="1578"/>
      <c r="M68" s="2037">
        <f t="shared" si="1"/>
        <v>0</v>
      </c>
      <c r="N68" s="1578"/>
      <c r="O68" s="1578">
        <v>0</v>
      </c>
      <c r="P68" s="1103"/>
      <c r="Q68" s="3463"/>
    </row>
    <row r="69" spans="2:17" s="870" customFormat="1" ht="15.75">
      <c r="B69" s="2357">
        <v>30154</v>
      </c>
      <c r="C69" s="1577"/>
      <c r="D69" s="1087" t="s">
        <v>694</v>
      </c>
      <c r="E69" s="1577"/>
      <c r="F69" s="1578">
        <v>0</v>
      </c>
      <c r="G69" s="1578">
        <v>0</v>
      </c>
      <c r="H69" s="1578"/>
      <c r="I69" s="1578">
        <v>0</v>
      </c>
      <c r="J69" s="1578"/>
      <c r="K69" s="1578">
        <v>0</v>
      </c>
      <c r="L69" s="1578"/>
      <c r="M69" s="2037">
        <f t="shared" si="1"/>
        <v>0</v>
      </c>
      <c r="N69" s="1578"/>
      <c r="O69" s="1578">
        <v>0</v>
      </c>
      <c r="P69" s="1103"/>
      <c r="Q69" s="3463"/>
    </row>
    <row r="70" spans="2:17" s="870" customFormat="1" ht="15.75">
      <c r="B70" s="2357">
        <v>30351</v>
      </c>
      <c r="C70" s="1577"/>
      <c r="D70" s="1087" t="s">
        <v>695</v>
      </c>
      <c r="E70" s="1577"/>
      <c r="F70" s="1578">
        <v>72792259.140000001</v>
      </c>
      <c r="G70" s="1578">
        <v>79119094.780000001</v>
      </c>
      <c r="H70" s="1578"/>
      <c r="I70" s="1578">
        <v>90399541.099999994</v>
      </c>
      <c r="J70" s="1578"/>
      <c r="K70" s="1578">
        <v>9453729.2699999996</v>
      </c>
      <c r="L70" s="1578"/>
      <c r="M70" s="2037">
        <f t="shared" si="1"/>
        <v>4788195.47</v>
      </c>
      <c r="N70" s="1578"/>
      <c r="O70" s="1578">
        <v>14241924.74</v>
      </c>
      <c r="P70" s="1103"/>
      <c r="Q70" s="3463"/>
    </row>
    <row r="71" spans="2:17" s="870" customFormat="1" ht="15.75">
      <c r="B71" s="2357">
        <v>30501</v>
      </c>
      <c r="C71" s="1577"/>
      <c r="D71" s="1087" t="s">
        <v>696</v>
      </c>
      <c r="E71" s="1577"/>
      <c r="F71" s="1578">
        <v>169.29</v>
      </c>
      <c r="G71" s="1578">
        <v>0</v>
      </c>
      <c r="H71" s="1578"/>
      <c r="I71" s="1578">
        <v>0</v>
      </c>
      <c r="J71" s="1578"/>
      <c r="K71" s="1578">
        <v>0</v>
      </c>
      <c r="L71" s="1578"/>
      <c r="M71" s="2037">
        <f t="shared" si="1"/>
        <v>0</v>
      </c>
      <c r="N71" s="1578"/>
      <c r="O71" s="1578">
        <v>0</v>
      </c>
      <c r="P71" s="1103"/>
      <c r="Q71" s="3463"/>
    </row>
    <row r="72" spans="2:17" s="870" customFormat="1" ht="15.75">
      <c r="B72" s="2357">
        <v>30502</v>
      </c>
      <c r="C72" s="1577"/>
      <c r="D72" s="1087" t="s">
        <v>697</v>
      </c>
      <c r="E72" s="1577"/>
      <c r="F72" s="1578">
        <v>0</v>
      </c>
      <c r="G72" s="1578">
        <v>0</v>
      </c>
      <c r="H72" s="1578"/>
      <c r="I72" s="1578">
        <v>0</v>
      </c>
      <c r="J72" s="1578"/>
      <c r="K72" s="1578">
        <v>0</v>
      </c>
      <c r="L72" s="1578"/>
      <c r="M72" s="2037">
        <f t="shared" si="1"/>
        <v>0</v>
      </c>
      <c r="N72" s="1578"/>
      <c r="O72" s="1578">
        <v>0</v>
      </c>
      <c r="P72" s="1103"/>
      <c r="Q72" s="3463"/>
    </row>
    <row r="73" spans="2:17" s="870" customFormat="1" ht="15.75">
      <c r="B73" s="2357">
        <v>30503</v>
      </c>
      <c r="C73" s="1577"/>
      <c r="D73" s="1087" t="s">
        <v>698</v>
      </c>
      <c r="E73" s="1577"/>
      <c r="F73" s="1578">
        <v>0</v>
      </c>
      <c r="G73" s="1578">
        <v>0</v>
      </c>
      <c r="H73" s="1578"/>
      <c r="I73" s="1578">
        <v>0</v>
      </c>
      <c r="J73" s="1578"/>
      <c r="K73" s="1578">
        <v>0</v>
      </c>
      <c r="L73" s="1578"/>
      <c r="M73" s="2037">
        <f t="shared" si="1"/>
        <v>0</v>
      </c>
      <c r="N73" s="1578"/>
      <c r="O73" s="1578">
        <v>0</v>
      </c>
      <c r="P73" s="1103"/>
      <c r="Q73" s="3463"/>
    </row>
    <row r="74" spans="2:17" s="870" customFormat="1" ht="15.75">
      <c r="B74" s="2357">
        <v>30504</v>
      </c>
      <c r="C74" s="1577"/>
      <c r="D74" s="1092" t="s">
        <v>699</v>
      </c>
      <c r="E74" s="1577"/>
      <c r="F74" s="1578">
        <v>0</v>
      </c>
      <c r="G74" s="1578">
        <v>0</v>
      </c>
      <c r="H74" s="1578"/>
      <c r="I74" s="1578">
        <v>0</v>
      </c>
      <c r="J74" s="1578"/>
      <c r="K74" s="1578">
        <v>0</v>
      </c>
      <c r="L74" s="1578"/>
      <c r="M74" s="2037">
        <f t="shared" si="1"/>
        <v>0</v>
      </c>
      <c r="N74" s="1578"/>
      <c r="O74" s="1578">
        <v>0</v>
      </c>
      <c r="P74" s="1103"/>
      <c r="Q74" s="3463"/>
    </row>
    <row r="75" spans="2:17" s="870" customFormat="1" ht="15.75">
      <c r="B75" s="2357">
        <v>31506</v>
      </c>
      <c r="C75" s="1093"/>
      <c r="D75" s="1094" t="s">
        <v>700</v>
      </c>
      <c r="E75" s="1095"/>
      <c r="F75" s="1578">
        <v>109849194.79000001</v>
      </c>
      <c r="G75" s="1578">
        <v>156441453.62</v>
      </c>
      <c r="H75" s="1578"/>
      <c r="I75" s="1578">
        <v>155833564.06999999</v>
      </c>
      <c r="J75" s="1578"/>
      <c r="K75" s="1578">
        <v>105284553.78</v>
      </c>
      <c r="L75" s="1578"/>
      <c r="M75" s="2037">
        <f t="shared" si="1"/>
        <v>2736049.11</v>
      </c>
      <c r="N75" s="1578"/>
      <c r="O75" s="1578">
        <v>108020602.89</v>
      </c>
      <c r="P75" s="1103"/>
      <c r="Q75" s="3463"/>
    </row>
    <row r="76" spans="2:17" s="870" customFormat="1" ht="15.75">
      <c r="B76" s="2357">
        <v>31701</v>
      </c>
      <c r="C76" s="1577"/>
      <c r="D76" s="1087" t="s">
        <v>701</v>
      </c>
      <c r="E76" s="1577"/>
      <c r="F76" s="1578">
        <v>7423246.6200000001</v>
      </c>
      <c r="G76" s="1578">
        <v>11498541.859999999</v>
      </c>
      <c r="H76" s="1578"/>
      <c r="I76" s="1578">
        <v>14998970.91</v>
      </c>
      <c r="J76" s="1578"/>
      <c r="K76" s="1578">
        <v>25429259.030000001</v>
      </c>
      <c r="L76" s="1578"/>
      <c r="M76" s="2037">
        <f t="shared" ref="M76:M83" si="2">ROUND(SUM(O76)-SUM(K76),2)</f>
        <v>3258320.78</v>
      </c>
      <c r="N76" s="1578"/>
      <c r="O76" s="1578">
        <v>28687579.809999999</v>
      </c>
      <c r="P76" s="1103"/>
      <c r="Q76" s="3463"/>
    </row>
    <row r="77" spans="2:17" s="870" customFormat="1" ht="15.75">
      <c r="B77" s="2357">
        <v>31801</v>
      </c>
      <c r="C77" s="1577"/>
      <c r="D77" s="1087" t="s">
        <v>702</v>
      </c>
      <c r="E77" s="1577"/>
      <c r="F77" s="1578">
        <v>13150846.050000001</v>
      </c>
      <c r="G77" s="1578">
        <v>13108506.189999999</v>
      </c>
      <c r="H77" s="1578"/>
      <c r="I77" s="1578">
        <v>13108506.189999999</v>
      </c>
      <c r="J77" s="1578"/>
      <c r="K77" s="1578">
        <v>13108506.189999999</v>
      </c>
      <c r="L77" s="1578"/>
      <c r="M77" s="2037">
        <f t="shared" si="2"/>
        <v>0</v>
      </c>
      <c r="N77" s="1578"/>
      <c r="O77" s="1578">
        <v>13108506.189999999</v>
      </c>
      <c r="P77" s="1103"/>
      <c r="Q77" s="3463"/>
    </row>
    <row r="78" spans="2:17" s="870" customFormat="1" ht="15.75">
      <c r="B78" s="2357">
        <v>31851</v>
      </c>
      <c r="C78" s="1577"/>
      <c r="D78" s="1092" t="s">
        <v>703</v>
      </c>
      <c r="E78" s="1577"/>
      <c r="F78" s="1578">
        <v>0</v>
      </c>
      <c r="G78" s="1578">
        <v>7406736.2999999998</v>
      </c>
      <c r="H78" s="1578"/>
      <c r="I78" s="1578">
        <v>12470340.970000001</v>
      </c>
      <c r="J78" s="1578"/>
      <c r="K78" s="1578">
        <v>12240411.039999999</v>
      </c>
      <c r="L78" s="1578"/>
      <c r="M78" s="2037">
        <f t="shared" si="2"/>
        <v>104178637</v>
      </c>
      <c r="N78" s="1578"/>
      <c r="O78" s="1578">
        <v>116419048.04000001</v>
      </c>
      <c r="P78" s="1103"/>
      <c r="Q78" s="3463"/>
    </row>
    <row r="79" spans="2:17" s="870" customFormat="1" ht="15.75">
      <c r="B79" s="2357">
        <v>31852</v>
      </c>
      <c r="C79" s="1577"/>
      <c r="D79" s="1087" t="s">
        <v>704</v>
      </c>
      <c r="E79" s="1577"/>
      <c r="F79" s="1578">
        <v>40679225.310000002</v>
      </c>
      <c r="G79" s="1578">
        <v>45546101.990000002</v>
      </c>
      <c r="H79" s="1578"/>
      <c r="I79" s="1578">
        <v>45546101.990000002</v>
      </c>
      <c r="J79" s="1578"/>
      <c r="K79" s="1578">
        <v>45546101.990000002</v>
      </c>
      <c r="L79" s="1578"/>
      <c r="M79" s="2037">
        <f t="shared" si="2"/>
        <v>6458399.0199999996</v>
      </c>
      <c r="N79" s="1578"/>
      <c r="O79" s="1578">
        <v>52004501.009999998</v>
      </c>
      <c r="P79" s="1103"/>
      <c r="Q79" s="3463"/>
    </row>
    <row r="80" spans="2:17" s="870" customFormat="1" ht="15.75">
      <c r="B80" s="2357">
        <v>31853</v>
      </c>
      <c r="C80" s="1577"/>
      <c r="D80" s="1092" t="s">
        <v>705</v>
      </c>
      <c r="E80" s="1577"/>
      <c r="F80" s="1578">
        <v>76297899.909999996</v>
      </c>
      <c r="G80" s="1578">
        <v>102763306.94</v>
      </c>
      <c r="H80" s="1578"/>
      <c r="I80" s="1578">
        <v>102763306.94</v>
      </c>
      <c r="J80" s="1578"/>
      <c r="K80" s="1578">
        <v>118513306.94</v>
      </c>
      <c r="L80" s="1578"/>
      <c r="M80" s="2037">
        <f t="shared" si="2"/>
        <v>0</v>
      </c>
      <c r="N80" s="1578"/>
      <c r="O80" s="1578">
        <v>118513306.94</v>
      </c>
      <c r="P80" s="1103"/>
      <c r="Q80" s="3463"/>
    </row>
    <row r="81" spans="2:17" s="870" customFormat="1" ht="15.75">
      <c r="B81" s="2357">
        <v>31854</v>
      </c>
      <c r="C81" s="1577"/>
      <c r="D81" s="1087" t="s">
        <v>706</v>
      </c>
      <c r="E81" s="1577"/>
      <c r="F81" s="1578">
        <v>0</v>
      </c>
      <c r="G81" s="1578">
        <v>0</v>
      </c>
      <c r="H81" s="1578"/>
      <c r="I81" s="1578">
        <v>0</v>
      </c>
      <c r="J81" s="1578"/>
      <c r="K81" s="1578">
        <v>0</v>
      </c>
      <c r="L81" s="1578"/>
      <c r="M81" s="2037">
        <f t="shared" si="2"/>
        <v>0</v>
      </c>
      <c r="N81" s="1578"/>
      <c r="O81" s="1578">
        <v>0</v>
      </c>
      <c r="P81" s="1103"/>
      <c r="Q81" s="3463"/>
    </row>
    <row r="82" spans="2:17" s="870" customFormat="1" ht="15.75">
      <c r="B82" s="2357">
        <v>31951</v>
      </c>
      <c r="C82" s="1577"/>
      <c r="D82" s="1092" t="s">
        <v>707</v>
      </c>
      <c r="E82" s="1577"/>
      <c r="F82" s="1578">
        <v>12348115.710000001</v>
      </c>
      <c r="G82" s="1578">
        <v>12480245.17</v>
      </c>
      <c r="H82" s="1578"/>
      <c r="I82" s="1578">
        <v>12471106.17</v>
      </c>
      <c r="J82" s="1578"/>
      <c r="K82" s="1578">
        <v>12441192.17</v>
      </c>
      <c r="L82" s="1578"/>
      <c r="M82" s="2037">
        <f t="shared" si="2"/>
        <v>0</v>
      </c>
      <c r="N82" s="1578"/>
      <c r="O82" s="1578">
        <v>12441192.17</v>
      </c>
      <c r="P82" s="1103"/>
      <c r="Q82" s="3463"/>
    </row>
    <row r="83" spans="2:17" s="870" customFormat="1" ht="15.75">
      <c r="B83" s="2357">
        <v>32213</v>
      </c>
      <c r="C83" s="1577"/>
      <c r="D83" s="1087" t="s">
        <v>708</v>
      </c>
      <c r="E83" s="1577"/>
      <c r="F83" s="1578">
        <v>153750</v>
      </c>
      <c r="G83" s="1578">
        <v>153750</v>
      </c>
      <c r="H83" s="1578"/>
      <c r="I83" s="1578">
        <v>153750</v>
      </c>
      <c r="J83" s="1578"/>
      <c r="K83" s="1578">
        <v>153750</v>
      </c>
      <c r="L83" s="1578"/>
      <c r="M83" s="2037">
        <f t="shared" si="2"/>
        <v>0</v>
      </c>
      <c r="N83" s="1578"/>
      <c r="O83" s="1578">
        <v>153750</v>
      </c>
      <c r="P83" s="1103"/>
      <c r="Q83" s="3463"/>
    </row>
    <row r="84" spans="2:17" s="870" customFormat="1" ht="15.75">
      <c r="B84" s="2357">
        <v>32214</v>
      </c>
      <c r="C84" s="1577"/>
      <c r="D84" s="1087" t="s">
        <v>1416</v>
      </c>
      <c r="E84" s="1577"/>
      <c r="F84" s="1578"/>
      <c r="G84" s="1578">
        <v>0</v>
      </c>
      <c r="H84" s="1578"/>
      <c r="I84" s="1578">
        <v>0</v>
      </c>
      <c r="J84" s="1578"/>
      <c r="K84" s="1578">
        <v>0</v>
      </c>
      <c r="L84" s="1578"/>
      <c r="M84" s="2037">
        <f t="shared" ref="M84" si="3">ROUND(SUM(O84)-SUM(K84),2)</f>
        <v>0</v>
      </c>
      <c r="N84" s="1578"/>
      <c r="O84" s="1578">
        <v>0</v>
      </c>
      <c r="P84" s="1103"/>
      <c r="Q84" s="3463"/>
    </row>
    <row r="85" spans="2:17" s="870" customFormat="1" ht="15.75">
      <c r="B85" s="2357">
        <v>32215</v>
      </c>
      <c r="C85" s="1577"/>
      <c r="D85" s="1087" t="s">
        <v>1380</v>
      </c>
      <c r="E85" s="1577"/>
      <c r="F85" s="1578"/>
      <c r="G85" s="1578">
        <v>4918626.54</v>
      </c>
      <c r="H85" s="1578"/>
      <c r="I85" s="1578">
        <v>4925156.8499999996</v>
      </c>
      <c r="J85" s="1578"/>
      <c r="K85" s="1578">
        <v>4950248.93</v>
      </c>
      <c r="L85" s="1578"/>
      <c r="M85" s="2037">
        <f>ROUND(SUM(O85)-SUM(K85),2)</f>
        <v>40876.410000000003</v>
      </c>
      <c r="N85" s="1578"/>
      <c r="O85" s="1578">
        <v>4991125.34</v>
      </c>
      <c r="P85" s="1103"/>
      <c r="Q85" s="3463"/>
    </row>
    <row r="86" spans="2:17" s="870" customFormat="1" ht="15.75">
      <c r="B86" s="2357">
        <v>32219</v>
      </c>
      <c r="C86" s="1577"/>
      <c r="D86" s="1087" t="s">
        <v>1475</v>
      </c>
      <c r="E86" s="1577"/>
      <c r="F86" s="1578"/>
      <c r="G86" s="1578">
        <v>0</v>
      </c>
      <c r="H86" s="1578"/>
      <c r="I86" s="1578">
        <v>0</v>
      </c>
      <c r="J86" s="1578"/>
      <c r="K86" s="1578">
        <v>0</v>
      </c>
      <c r="L86" s="1578"/>
      <c r="M86" s="2037">
        <f>ROUND(SUM(O86)-SUM(K86),2)</f>
        <v>0</v>
      </c>
      <c r="N86" s="1578"/>
      <c r="O86" s="1578">
        <v>0</v>
      </c>
      <c r="P86" s="1103"/>
      <c r="Q86" s="3463"/>
    </row>
    <row r="87" spans="2:17" s="870" customFormat="1" ht="15.75">
      <c r="B87" s="2357">
        <v>32301</v>
      </c>
      <c r="C87" s="1577"/>
      <c r="D87" s="1092" t="s">
        <v>709</v>
      </c>
      <c r="E87" s="1095"/>
      <c r="F87" s="1578">
        <v>0</v>
      </c>
      <c r="G87" s="1578">
        <v>0</v>
      </c>
      <c r="H87" s="1578"/>
      <c r="I87" s="1578">
        <v>0</v>
      </c>
      <c r="J87" s="1578"/>
      <c r="K87" s="1578">
        <v>0</v>
      </c>
      <c r="L87" s="1578"/>
      <c r="M87" s="2037">
        <f t="shared" ref="M87:M100" si="4">ROUND(SUM(O87)-SUM(K87),2)</f>
        <v>0</v>
      </c>
      <c r="N87" s="1578"/>
      <c r="O87" s="1578">
        <v>0</v>
      </c>
      <c r="P87" s="1103"/>
      <c r="Q87" s="3463"/>
    </row>
    <row r="88" spans="2:17" s="870" customFormat="1" ht="15.75">
      <c r="B88" s="2357">
        <v>32302</v>
      </c>
      <c r="C88" s="1577"/>
      <c r="D88" s="1092" t="s">
        <v>1121</v>
      </c>
      <c r="E88" s="1095"/>
      <c r="F88" s="1578">
        <v>0</v>
      </c>
      <c r="G88" s="1578">
        <v>0</v>
      </c>
      <c r="H88" s="1578"/>
      <c r="I88" s="1578">
        <v>0</v>
      </c>
      <c r="J88" s="1578"/>
      <c r="K88" s="1578">
        <v>0</v>
      </c>
      <c r="L88" s="1578"/>
      <c r="M88" s="2037">
        <f t="shared" si="4"/>
        <v>0</v>
      </c>
      <c r="N88" s="1578"/>
      <c r="O88" s="1578">
        <v>0</v>
      </c>
      <c r="P88" s="1103"/>
      <c r="Q88" s="3463"/>
    </row>
    <row r="89" spans="2:17" s="870" customFormat="1" ht="15.75">
      <c r="B89" s="2357">
        <v>32303</v>
      </c>
      <c r="C89" s="1577"/>
      <c r="D89" s="1087" t="s">
        <v>710</v>
      </c>
      <c r="E89" s="1095"/>
      <c r="F89" s="1578">
        <v>87723047.260000005</v>
      </c>
      <c r="G89" s="1578">
        <v>177384494.68000001</v>
      </c>
      <c r="H89" s="1578"/>
      <c r="I89" s="1578">
        <v>177348117.27000001</v>
      </c>
      <c r="J89" s="1578"/>
      <c r="K89" s="1578">
        <v>168488483.58000001</v>
      </c>
      <c r="L89" s="1578"/>
      <c r="M89" s="2037">
        <f t="shared" si="4"/>
        <v>2138067.42</v>
      </c>
      <c r="N89" s="1578"/>
      <c r="O89" s="1578">
        <v>170626551</v>
      </c>
      <c r="P89" s="1103"/>
      <c r="Q89" s="3463"/>
    </row>
    <row r="90" spans="2:17" s="870" customFormat="1" ht="15.75">
      <c r="B90" s="2357">
        <v>32304</v>
      </c>
      <c r="C90" s="1577"/>
      <c r="D90" s="1087" t="s">
        <v>711</v>
      </c>
      <c r="E90" s="1095"/>
      <c r="F90" s="1578">
        <v>0</v>
      </c>
      <c r="G90" s="1578">
        <v>0</v>
      </c>
      <c r="H90" s="1578"/>
      <c r="I90" s="1578">
        <v>0</v>
      </c>
      <c r="J90" s="1578"/>
      <c r="K90" s="1578">
        <v>0</v>
      </c>
      <c r="L90" s="1578"/>
      <c r="M90" s="2037">
        <f t="shared" si="4"/>
        <v>0</v>
      </c>
      <c r="N90" s="1578"/>
      <c r="O90" s="1578">
        <v>0</v>
      </c>
      <c r="P90" s="1103"/>
      <c r="Q90" s="3463"/>
    </row>
    <row r="91" spans="2:17" s="870" customFormat="1" ht="15.75">
      <c r="B91" s="2357">
        <v>32305</v>
      </c>
      <c r="C91" s="1577"/>
      <c r="D91" s="1087" t="s">
        <v>1122</v>
      </c>
      <c r="E91" s="1095"/>
      <c r="F91" s="1578">
        <v>172362230.61000001</v>
      </c>
      <c r="G91" s="1578">
        <v>255650653.91</v>
      </c>
      <c r="H91" s="1578"/>
      <c r="I91" s="1578">
        <v>264853786.91</v>
      </c>
      <c r="J91" s="1578"/>
      <c r="K91" s="1578">
        <v>274277763</v>
      </c>
      <c r="L91" s="1578"/>
      <c r="M91" s="2037">
        <f t="shared" si="4"/>
        <v>0</v>
      </c>
      <c r="N91" s="1578"/>
      <c r="O91" s="1578">
        <v>274277763</v>
      </c>
      <c r="P91" s="1103"/>
      <c r="Q91" s="3463"/>
    </row>
    <row r="92" spans="2:17" s="870" customFormat="1" ht="15.75">
      <c r="B92" s="2357">
        <v>32306</v>
      </c>
      <c r="C92" s="1577"/>
      <c r="D92" s="1092" t="s">
        <v>712</v>
      </c>
      <c r="E92" s="1095"/>
      <c r="F92" s="1578">
        <v>26767629.280000001</v>
      </c>
      <c r="G92" s="1578">
        <v>19122565.710000001</v>
      </c>
      <c r="H92" s="1578"/>
      <c r="I92" s="1578">
        <v>19122565.710000001</v>
      </c>
      <c r="J92" s="1578"/>
      <c r="K92" s="1578">
        <v>19122565.710000001</v>
      </c>
      <c r="L92" s="1578"/>
      <c r="M92" s="2037">
        <f t="shared" si="4"/>
        <v>0</v>
      </c>
      <c r="N92" s="1578"/>
      <c r="O92" s="1578">
        <v>19122565.710000001</v>
      </c>
      <c r="P92" s="1103"/>
      <c r="Q92" s="3463"/>
    </row>
    <row r="93" spans="2:17" s="870" customFormat="1" ht="15.75">
      <c r="B93" s="2357">
        <v>32307</v>
      </c>
      <c r="C93" s="1577"/>
      <c r="D93" s="1092" t="s">
        <v>713</v>
      </c>
      <c r="E93" s="1095"/>
      <c r="F93" s="1578">
        <v>5430710.0300000003</v>
      </c>
      <c r="G93" s="1578">
        <v>7660978.1100000003</v>
      </c>
      <c r="H93" s="1578"/>
      <c r="I93" s="1578">
        <v>7660978.1100000003</v>
      </c>
      <c r="J93" s="1578"/>
      <c r="K93" s="1578">
        <v>8260978.1100000003</v>
      </c>
      <c r="L93" s="1578"/>
      <c r="M93" s="2037">
        <f t="shared" si="4"/>
        <v>0</v>
      </c>
      <c r="N93" s="1578"/>
      <c r="O93" s="1578">
        <v>8260978.1100000003</v>
      </c>
      <c r="P93" s="1103"/>
      <c r="Q93" s="3463"/>
    </row>
    <row r="94" spans="2:17" s="870" customFormat="1" ht="15.75">
      <c r="B94" s="2357">
        <v>32308</v>
      </c>
      <c r="C94" s="1577"/>
      <c r="D94" s="1092" t="s">
        <v>714</v>
      </c>
      <c r="E94" s="1095"/>
      <c r="F94" s="1578">
        <v>539890.44999999995</v>
      </c>
      <c r="G94" s="1578">
        <v>1431583.9</v>
      </c>
      <c r="H94" s="1578"/>
      <c r="I94" s="1578">
        <v>1431583.9</v>
      </c>
      <c r="J94" s="1578"/>
      <c r="K94" s="1578">
        <v>1431583.9</v>
      </c>
      <c r="L94" s="1578"/>
      <c r="M94" s="2037">
        <f t="shared" si="4"/>
        <v>824000</v>
      </c>
      <c r="N94" s="1578"/>
      <c r="O94" s="1578">
        <v>2255583.9</v>
      </c>
      <c r="P94" s="1103"/>
      <c r="Q94" s="3463"/>
    </row>
    <row r="95" spans="2:17" s="870" customFormat="1" ht="15.75">
      <c r="B95" s="2357">
        <v>32309</v>
      </c>
      <c r="C95" s="1577"/>
      <c r="D95" s="1092" t="s">
        <v>715</v>
      </c>
      <c r="E95" s="1095"/>
      <c r="F95" s="1578">
        <v>104401100.42</v>
      </c>
      <c r="G95" s="1578">
        <v>135237491.66</v>
      </c>
      <c r="H95" s="1578"/>
      <c r="I95" s="1578">
        <v>133825999.27</v>
      </c>
      <c r="J95" s="1578"/>
      <c r="K95" s="1578">
        <v>146238643.83000001</v>
      </c>
      <c r="L95" s="1578"/>
      <c r="M95" s="2037">
        <f t="shared" si="4"/>
        <v>12194322.029999999</v>
      </c>
      <c r="N95" s="1578"/>
      <c r="O95" s="1578">
        <v>158432965.86000001</v>
      </c>
      <c r="P95" s="1103"/>
      <c r="Q95" s="3463"/>
    </row>
    <row r="96" spans="2:17" s="870" customFormat="1" ht="15.75">
      <c r="B96" s="2357">
        <v>32310</v>
      </c>
      <c r="C96" s="1577"/>
      <c r="D96" s="1092" t="s">
        <v>716</v>
      </c>
      <c r="E96" s="1095"/>
      <c r="F96" s="1578">
        <v>0</v>
      </c>
      <c r="G96" s="1578">
        <v>0</v>
      </c>
      <c r="H96" s="1578"/>
      <c r="I96" s="1578">
        <v>0</v>
      </c>
      <c r="J96" s="1578"/>
      <c r="K96" s="1578">
        <v>0</v>
      </c>
      <c r="L96" s="1578"/>
      <c r="M96" s="2037">
        <f t="shared" si="4"/>
        <v>0</v>
      </c>
      <c r="N96" s="1578"/>
      <c r="O96" s="1578">
        <v>0</v>
      </c>
      <c r="P96" s="1103"/>
      <c r="Q96" s="3463"/>
    </row>
    <row r="97" spans="2:17" s="870" customFormat="1" ht="17.25">
      <c r="B97" s="2357">
        <v>32311</v>
      </c>
      <c r="C97" s="1577"/>
      <c r="D97" s="1579" t="s">
        <v>717</v>
      </c>
      <c r="E97" s="1095"/>
      <c r="F97" s="1578">
        <v>2486315.4700000002</v>
      </c>
      <c r="G97" s="1578">
        <v>490667.29</v>
      </c>
      <c r="H97" s="1578"/>
      <c r="I97" s="1578">
        <v>490667.29</v>
      </c>
      <c r="J97" s="1578"/>
      <c r="K97" s="1578">
        <v>49496.38</v>
      </c>
      <c r="L97" s="1578"/>
      <c r="M97" s="2037">
        <f t="shared" si="4"/>
        <v>0</v>
      </c>
      <c r="N97" s="1578"/>
      <c r="O97" s="1578">
        <v>49496.38</v>
      </c>
      <c r="P97" s="1103"/>
      <c r="Q97" s="3463"/>
    </row>
    <row r="98" spans="2:17" s="870" customFormat="1" ht="15.75">
      <c r="B98" s="2357">
        <v>32351</v>
      </c>
      <c r="C98" s="1577"/>
      <c r="D98" s="1092" t="s">
        <v>718</v>
      </c>
      <c r="E98" s="1095"/>
      <c r="F98" s="1578">
        <v>11110.01</v>
      </c>
      <c r="G98" s="1578">
        <v>0</v>
      </c>
      <c r="H98" s="1578"/>
      <c r="I98" s="1578">
        <v>0</v>
      </c>
      <c r="J98" s="1578"/>
      <c r="K98" s="1578">
        <v>0</v>
      </c>
      <c r="L98" s="1578"/>
      <c r="M98" s="2037">
        <f t="shared" si="4"/>
        <v>0</v>
      </c>
      <c r="N98" s="1578"/>
      <c r="O98" s="1578">
        <v>0</v>
      </c>
      <c r="P98" s="1103"/>
      <c r="Q98" s="3463"/>
    </row>
    <row r="99" spans="2:17" s="870" customFormat="1" ht="15.75">
      <c r="B99" s="2359">
        <v>32352</v>
      </c>
      <c r="C99" s="3474"/>
      <c r="D99" s="3514" t="s">
        <v>719</v>
      </c>
      <c r="E99" s="1102"/>
      <c r="F99" s="1578">
        <v>65245293.57</v>
      </c>
      <c r="G99" s="1578">
        <v>199873748.43000001</v>
      </c>
      <c r="H99" s="1578"/>
      <c r="I99" s="1578">
        <v>234093118.43000001</v>
      </c>
      <c r="J99" s="1578"/>
      <c r="K99" s="1578">
        <v>180018644.47</v>
      </c>
      <c r="L99" s="1578"/>
      <c r="M99" s="2037">
        <f t="shared" ref="M99" si="5">ROUND(SUM(O99)-SUM(K99),2)</f>
        <v>14837601.939999999</v>
      </c>
      <c r="N99" s="1578"/>
      <c r="O99" s="1578">
        <v>194856246.41</v>
      </c>
      <c r="P99" s="1173"/>
      <c r="Q99" s="3463"/>
    </row>
    <row r="100" spans="2:17" s="870" customFormat="1" ht="15.75">
      <c r="B100" s="2357">
        <v>33001</v>
      </c>
      <c r="C100" s="1577"/>
      <c r="D100" s="1087" t="s">
        <v>720</v>
      </c>
      <c r="E100" s="1095"/>
      <c r="F100" s="1578">
        <v>10000000</v>
      </c>
      <c r="G100" s="1578">
        <v>71234560.989999995</v>
      </c>
      <c r="H100" s="1578"/>
      <c r="I100" s="1578">
        <v>72000829.819999993</v>
      </c>
      <c r="J100" s="1578"/>
      <c r="K100" s="1578">
        <v>75606001.060000002</v>
      </c>
      <c r="L100" s="1578"/>
      <c r="M100" s="2037">
        <f t="shared" si="4"/>
        <v>327318.42</v>
      </c>
      <c r="N100" s="1578"/>
      <c r="O100" s="1578">
        <v>75933319.480000004</v>
      </c>
      <c r="P100" s="1103"/>
      <c r="Q100" s="3463"/>
    </row>
    <row r="101" spans="2:17" s="870" customFormat="1" ht="16.5" thickBot="1">
      <c r="B101" s="1393"/>
      <c r="C101" s="1394"/>
      <c r="D101" s="2674" t="s">
        <v>721</v>
      </c>
      <c r="E101" s="1163"/>
      <c r="F101" s="1163"/>
      <c r="G101" s="2622">
        <f>ROUND(SUM(G14:G100),2)</f>
        <v>1492664084.5699999</v>
      </c>
      <c r="H101" s="3479"/>
      <c r="I101" s="2622">
        <f>ROUND(SUM(I14:I100),2)</f>
        <v>1545606887.47</v>
      </c>
      <c r="J101" s="3479"/>
      <c r="K101" s="2622">
        <f>ROUND(SUM(K14:K100),2)</f>
        <v>1285872692.1300001</v>
      </c>
      <c r="L101" s="2833"/>
      <c r="M101" s="2039">
        <f>ROUND(SUM(M14:M100),2)</f>
        <v>128386301.83</v>
      </c>
      <c r="N101" s="2833"/>
      <c r="O101" s="2622">
        <f>ROUND(SUM(O14:O100),2)</f>
        <v>1414258993.96</v>
      </c>
      <c r="P101" s="1103"/>
      <c r="Q101" s="3463"/>
    </row>
    <row r="102" spans="2:17" s="870" customFormat="1" ht="16.5" thickTop="1">
      <c r="B102" s="1395"/>
      <c r="C102" s="1395"/>
      <c r="D102" s="1396"/>
      <c r="E102" s="1168"/>
      <c r="F102" s="1168"/>
      <c r="G102" s="2675"/>
      <c r="H102" s="1063"/>
      <c r="I102" s="2628"/>
      <c r="J102" s="1063"/>
      <c r="K102" s="2628"/>
      <c r="L102" s="1063"/>
      <c r="M102" s="1397"/>
      <c r="N102" s="1398"/>
      <c r="O102" s="2628"/>
      <c r="P102" s="1174"/>
      <c r="Q102" s="3463"/>
    </row>
    <row r="103" spans="2:17" s="870" customFormat="1" ht="15.75">
      <c r="B103" s="1244"/>
      <c r="C103" s="1394"/>
      <c r="D103" s="2676" t="s">
        <v>722</v>
      </c>
      <c r="E103" s="1399"/>
      <c r="F103" s="1399"/>
      <c r="G103" s="1391"/>
      <c r="H103" s="1391"/>
      <c r="I103" s="2629"/>
      <c r="J103" s="1391"/>
      <c r="K103" s="2629"/>
      <c r="L103" s="1391"/>
      <c r="M103" s="2386"/>
      <c r="N103" s="1400"/>
      <c r="O103" s="2629"/>
      <c r="P103" s="1168"/>
      <c r="Q103" s="3463"/>
    </row>
    <row r="104" spans="2:17" s="870" customFormat="1" ht="15.75">
      <c r="B104" s="2357">
        <v>20452</v>
      </c>
      <c r="C104" s="1244"/>
      <c r="D104" s="1087" t="s">
        <v>723</v>
      </c>
      <c r="E104"/>
      <c r="F104" s="1244"/>
      <c r="G104" s="1578">
        <v>0</v>
      </c>
      <c r="H104" s="1578"/>
      <c r="I104" s="1578">
        <v>0</v>
      </c>
      <c r="J104" s="1578"/>
      <c r="K104" s="1578">
        <v>0</v>
      </c>
      <c r="L104" s="1578"/>
      <c r="M104" s="2037">
        <f t="shared" ref="M104:M165" si="6">ROUND(SUM(O104)-SUM(K104),2)</f>
        <v>0</v>
      </c>
      <c r="N104" s="1578"/>
      <c r="O104" s="1578">
        <v>0</v>
      </c>
      <c r="P104" s="1103"/>
      <c r="Q104" s="3463"/>
    </row>
    <row r="105" spans="2:17" s="870" customFormat="1" ht="15.75">
      <c r="B105" s="2357">
        <v>20501</v>
      </c>
      <c r="C105" s="1402"/>
      <c r="D105" s="1087" t="s">
        <v>724</v>
      </c>
      <c r="E105" s="1392"/>
      <c r="F105" s="1392"/>
      <c r="G105" s="1578">
        <v>0</v>
      </c>
      <c r="H105" s="1578"/>
      <c r="I105" s="1578">
        <v>0</v>
      </c>
      <c r="J105" s="1578"/>
      <c r="K105" s="1578">
        <v>0</v>
      </c>
      <c r="L105" s="1578"/>
      <c r="M105" s="2037">
        <f t="shared" si="6"/>
        <v>0</v>
      </c>
      <c r="N105" s="1578"/>
      <c r="O105" s="1578">
        <v>0</v>
      </c>
      <c r="P105" s="1103"/>
      <c r="Q105" s="3463"/>
    </row>
    <row r="106" spans="2:17" s="870" customFormat="1" ht="15.75">
      <c r="B106" s="2357">
        <v>20810</v>
      </c>
      <c r="C106" s="1093"/>
      <c r="D106" s="1097" t="s">
        <v>725</v>
      </c>
      <c r="E106" s="1095"/>
      <c r="F106" s="1095"/>
      <c r="G106" s="1578">
        <v>0</v>
      </c>
      <c r="H106" s="1578"/>
      <c r="I106" s="1578">
        <v>8038934.0300000003</v>
      </c>
      <c r="J106" s="1578"/>
      <c r="K106" s="1578">
        <v>44823.26</v>
      </c>
      <c r="L106" s="1578"/>
      <c r="M106" s="2037">
        <f t="shared" si="6"/>
        <v>19660801.68</v>
      </c>
      <c r="N106" s="1578"/>
      <c r="O106" s="1578">
        <v>19705624.940000001</v>
      </c>
      <c r="P106" s="3539"/>
      <c r="Q106" s="3463"/>
    </row>
    <row r="107" spans="2:17" s="870" customFormat="1" ht="15.75">
      <c r="B107" s="2357">
        <v>20818</v>
      </c>
      <c r="C107" s="1093"/>
      <c r="D107" s="1097" t="s">
        <v>726</v>
      </c>
      <c r="E107" s="1095"/>
      <c r="F107" s="1095"/>
      <c r="G107" s="1578">
        <v>0</v>
      </c>
      <c r="H107" s="1578"/>
      <c r="I107" s="1578">
        <v>0</v>
      </c>
      <c r="J107" s="1578"/>
      <c r="K107" s="1578">
        <v>0</v>
      </c>
      <c r="L107" s="1578"/>
      <c r="M107" s="2037">
        <f t="shared" si="6"/>
        <v>1612473.29</v>
      </c>
      <c r="N107" s="1578"/>
      <c r="O107" s="1578">
        <v>1612473.29</v>
      </c>
      <c r="P107" s="3539"/>
      <c r="Q107" s="3463"/>
    </row>
    <row r="108" spans="2:17" s="870" customFormat="1" ht="15.75">
      <c r="B108" s="2357">
        <v>20901</v>
      </c>
      <c r="C108" s="1093"/>
      <c r="D108" s="1097" t="s">
        <v>727</v>
      </c>
      <c r="E108" s="1095"/>
      <c r="F108" s="1095"/>
      <c r="G108" s="1578">
        <v>694701161.67999995</v>
      </c>
      <c r="H108" s="1578"/>
      <c r="I108" s="1578">
        <v>548181645.51999998</v>
      </c>
      <c r="J108" s="1578"/>
      <c r="K108" s="1578">
        <v>0</v>
      </c>
      <c r="L108" s="1578"/>
      <c r="M108" s="2037">
        <f t="shared" si="6"/>
        <v>0</v>
      </c>
      <c r="N108" s="1578"/>
      <c r="O108" s="1578">
        <v>0</v>
      </c>
      <c r="P108" s="3539"/>
      <c r="Q108" s="3463"/>
    </row>
    <row r="109" spans="2:17" s="870" customFormat="1" ht="15.75">
      <c r="B109" s="2357">
        <v>20904</v>
      </c>
      <c r="C109" s="1090"/>
      <c r="D109" s="1098" t="s">
        <v>728</v>
      </c>
      <c r="E109" s="1102"/>
      <c r="F109" s="1102"/>
      <c r="G109" s="1578">
        <v>0</v>
      </c>
      <c r="H109" s="1578"/>
      <c r="I109" s="1578">
        <v>0</v>
      </c>
      <c r="J109" s="1578"/>
      <c r="K109" s="1578">
        <v>0</v>
      </c>
      <c r="L109" s="1578"/>
      <c r="M109" s="2037">
        <f t="shared" si="6"/>
        <v>0</v>
      </c>
      <c r="N109" s="1578"/>
      <c r="O109" s="1578">
        <v>0</v>
      </c>
      <c r="P109" s="3539"/>
      <c r="Q109" s="3463"/>
    </row>
    <row r="110" spans="2:17" s="870" customFormat="1" ht="15.75">
      <c r="B110" s="2357">
        <v>21001</v>
      </c>
      <c r="C110" s="1093"/>
      <c r="D110" s="1099" t="s">
        <v>729</v>
      </c>
      <c r="E110" s="1095"/>
      <c r="F110" s="1095"/>
      <c r="G110" s="1578">
        <v>0</v>
      </c>
      <c r="H110" s="1578"/>
      <c r="I110" s="1578">
        <v>0</v>
      </c>
      <c r="J110" s="1578"/>
      <c r="K110" s="1578">
        <v>0</v>
      </c>
      <c r="L110" s="1578"/>
      <c r="M110" s="2037">
        <f t="shared" si="6"/>
        <v>0</v>
      </c>
      <c r="N110" s="1578"/>
      <c r="O110" s="1578">
        <v>0</v>
      </c>
      <c r="P110" s="3539"/>
      <c r="Q110" s="3463"/>
    </row>
    <row r="111" spans="2:17" s="870" customFormat="1" ht="15.75">
      <c r="B111" s="2357">
        <v>21002</v>
      </c>
      <c r="C111" s="1093"/>
      <c r="D111" s="1097" t="s">
        <v>730</v>
      </c>
      <c r="E111" s="1095"/>
      <c r="F111" s="1095"/>
      <c r="G111" s="1578">
        <v>4118850.17</v>
      </c>
      <c r="H111" s="1578"/>
      <c r="I111" s="1578">
        <v>4149981.16</v>
      </c>
      <c r="J111" s="1578"/>
      <c r="K111" s="1578">
        <v>3342415.45</v>
      </c>
      <c r="L111" s="1578"/>
      <c r="M111" s="2037">
        <f t="shared" si="6"/>
        <v>42825.24</v>
      </c>
      <c r="N111" s="1578"/>
      <c r="O111" s="1578">
        <v>3385240.69</v>
      </c>
      <c r="P111" s="3539"/>
      <c r="Q111" s="3463"/>
    </row>
    <row r="112" spans="2:17" s="870" customFormat="1" ht="15.75">
      <c r="B112" s="2357">
        <v>21061</v>
      </c>
      <c r="C112" s="1093"/>
      <c r="D112" s="1097" t="s">
        <v>731</v>
      </c>
      <c r="E112" s="1095"/>
      <c r="F112" s="1095"/>
      <c r="G112" s="1578">
        <v>0</v>
      </c>
      <c r="H112" s="1578"/>
      <c r="I112" s="1578">
        <v>0</v>
      </c>
      <c r="J112" s="1578"/>
      <c r="K112" s="1578">
        <v>0</v>
      </c>
      <c r="L112" s="1578"/>
      <c r="M112" s="2037">
        <f t="shared" si="6"/>
        <v>0</v>
      </c>
      <c r="N112" s="1578"/>
      <c r="O112" s="1578">
        <v>0</v>
      </c>
      <c r="P112" s="3539"/>
      <c r="Q112" s="3463"/>
    </row>
    <row r="113" spans="2:17" s="870" customFormat="1" ht="15.75">
      <c r="B113" s="2357">
        <v>21064</v>
      </c>
      <c r="C113" s="1093"/>
      <c r="D113" s="1097" t="s">
        <v>1476</v>
      </c>
      <c r="E113" s="1095"/>
      <c r="F113" s="1095"/>
      <c r="G113" s="1578">
        <v>0</v>
      </c>
      <c r="H113" s="1578"/>
      <c r="I113" s="1578">
        <v>0</v>
      </c>
      <c r="J113" s="1578"/>
      <c r="K113" s="1578">
        <v>0</v>
      </c>
      <c r="L113" s="1578"/>
      <c r="M113" s="2037">
        <f t="shared" ref="M113" si="7">ROUND(SUM(O113)-SUM(K113),2)</f>
        <v>0</v>
      </c>
      <c r="N113" s="1578"/>
      <c r="O113" s="1578">
        <v>0</v>
      </c>
      <c r="P113" s="3539"/>
      <c r="Q113" s="3463"/>
    </row>
    <row r="114" spans="2:17" s="870" customFormat="1" ht="15.75">
      <c r="B114" s="2357">
        <v>21065</v>
      </c>
      <c r="C114" s="1093"/>
      <c r="D114" s="1097" t="s">
        <v>732</v>
      </c>
      <c r="E114" s="1095"/>
      <c r="F114" s="1095"/>
      <c r="G114" s="1578">
        <v>1604174.16</v>
      </c>
      <c r="H114" s="1578"/>
      <c r="I114" s="1578">
        <v>2237886.2799999998</v>
      </c>
      <c r="J114" s="1578"/>
      <c r="K114" s="1578">
        <v>0</v>
      </c>
      <c r="L114" s="1578"/>
      <c r="M114" s="2037">
        <f t="shared" si="6"/>
        <v>68690.710000000006</v>
      </c>
      <c r="N114" s="1578"/>
      <c r="O114" s="1578">
        <v>68690.710000000006</v>
      </c>
      <c r="P114" s="3539"/>
      <c r="Q114" s="3463"/>
    </row>
    <row r="115" spans="2:17" s="870" customFormat="1" ht="15.75">
      <c r="B115" s="2357">
        <v>21066</v>
      </c>
      <c r="C115" s="1093"/>
      <c r="D115" s="1094" t="s">
        <v>733</v>
      </c>
      <c r="E115" s="1095"/>
      <c r="F115" s="1095"/>
      <c r="G115" s="1578">
        <v>4536738.34</v>
      </c>
      <c r="H115" s="1578"/>
      <c r="I115" s="1578">
        <v>3686738.31</v>
      </c>
      <c r="J115" s="1578"/>
      <c r="K115" s="1578">
        <v>3845097.33</v>
      </c>
      <c r="L115" s="1578"/>
      <c r="M115" s="2037">
        <f t="shared" si="6"/>
        <v>103362.06</v>
      </c>
      <c r="N115" s="1578"/>
      <c r="O115" s="1578">
        <v>3948459.39</v>
      </c>
      <c r="P115" s="3539"/>
      <c r="Q115" s="3463"/>
    </row>
    <row r="116" spans="2:17" s="870" customFormat="1" ht="15.75">
      <c r="B116" s="2357">
        <v>21067</v>
      </c>
      <c r="C116" s="1093"/>
      <c r="D116" s="1094" t="s">
        <v>734</v>
      </c>
      <c r="E116" s="1095"/>
      <c r="F116" s="1095"/>
      <c r="G116" s="1578">
        <v>2558085.7000000002</v>
      </c>
      <c r="H116" s="1578"/>
      <c r="I116" s="1578">
        <v>2079110.5</v>
      </c>
      <c r="J116" s="1578"/>
      <c r="K116" s="1578">
        <v>1670220.82</v>
      </c>
      <c r="L116" s="1578"/>
      <c r="M116" s="2037">
        <f t="shared" si="6"/>
        <v>-148068.26999999999</v>
      </c>
      <c r="N116" s="1578"/>
      <c r="O116" s="1578">
        <v>1522152.55</v>
      </c>
      <c r="P116" s="3539"/>
      <c r="Q116" s="3463"/>
    </row>
    <row r="117" spans="2:17" s="870" customFormat="1" ht="15.75">
      <c r="B117" s="2357">
        <v>21077</v>
      </c>
      <c r="C117" s="1093"/>
      <c r="D117" s="1097" t="s">
        <v>735</v>
      </c>
      <c r="E117" s="1095"/>
      <c r="F117" s="1095"/>
      <c r="G117" s="1578">
        <v>0</v>
      </c>
      <c r="H117" s="1578"/>
      <c r="I117" s="1578">
        <v>0</v>
      </c>
      <c r="J117" s="1578"/>
      <c r="K117" s="1578">
        <v>0</v>
      </c>
      <c r="L117" s="1578"/>
      <c r="M117" s="2037">
        <f t="shared" si="6"/>
        <v>0</v>
      </c>
      <c r="N117" s="1578"/>
      <c r="O117" s="1578">
        <v>0</v>
      </c>
      <c r="P117" s="3539"/>
      <c r="Q117" s="3463"/>
    </row>
    <row r="118" spans="2:17" s="870" customFormat="1" ht="15.75">
      <c r="B118" s="2357">
        <v>21081</v>
      </c>
      <c r="C118" s="1093"/>
      <c r="D118" s="1094" t="s">
        <v>736</v>
      </c>
      <c r="E118" s="1095"/>
      <c r="F118" s="1095"/>
      <c r="G118" s="1578">
        <v>38310340.100000001</v>
      </c>
      <c r="H118" s="1578"/>
      <c r="I118" s="1578">
        <v>38649683.359999999</v>
      </c>
      <c r="J118" s="1578"/>
      <c r="K118" s="1578">
        <v>37617478.969999999</v>
      </c>
      <c r="L118" s="1578"/>
      <c r="M118" s="2037">
        <f t="shared" si="6"/>
        <v>28268.63</v>
      </c>
      <c r="N118" s="1578"/>
      <c r="O118" s="1578">
        <v>37645747.600000001</v>
      </c>
      <c r="P118" s="3539"/>
      <c r="Q118" s="3463"/>
    </row>
    <row r="119" spans="2:17" s="870" customFormat="1" ht="15.75">
      <c r="B119" s="2357">
        <v>21082</v>
      </c>
      <c r="C119" s="1093"/>
      <c r="D119" s="1097" t="s">
        <v>737</v>
      </c>
      <c r="E119" s="1095"/>
      <c r="F119" s="1095"/>
      <c r="G119" s="1578">
        <v>15713273.07</v>
      </c>
      <c r="H119" s="1578"/>
      <c r="I119" s="1578">
        <v>15502581.630000001</v>
      </c>
      <c r="J119" s="1578"/>
      <c r="K119" s="1578">
        <v>15493866.060000001</v>
      </c>
      <c r="L119" s="1578"/>
      <c r="M119" s="2037">
        <f t="shared" si="6"/>
        <v>218023.25</v>
      </c>
      <c r="N119" s="1578"/>
      <c r="O119" s="1578">
        <v>15711889.310000001</v>
      </c>
      <c r="P119" s="3539"/>
      <c r="Q119" s="3463"/>
    </row>
    <row r="120" spans="2:17" s="870" customFormat="1" ht="15.75">
      <c r="B120" s="2357">
        <v>21084</v>
      </c>
      <c r="C120" s="1093"/>
      <c r="D120" s="1097" t="s">
        <v>738</v>
      </c>
      <c r="E120" s="1095"/>
      <c r="F120" s="1095"/>
      <c r="G120" s="1578">
        <v>0</v>
      </c>
      <c r="H120" s="1578"/>
      <c r="I120" s="1578">
        <v>0</v>
      </c>
      <c r="J120" s="1578"/>
      <c r="K120" s="1578">
        <v>0</v>
      </c>
      <c r="L120" s="1578"/>
      <c r="M120" s="2037">
        <f t="shared" si="6"/>
        <v>0</v>
      </c>
      <c r="N120" s="1578"/>
      <c r="O120" s="1578">
        <v>0</v>
      </c>
      <c r="P120" s="3539"/>
      <c r="Q120" s="3463"/>
    </row>
    <row r="121" spans="2:17" s="870" customFormat="1" ht="15.75">
      <c r="B121" s="2357">
        <v>21087</v>
      </c>
      <c r="C121" s="1093"/>
      <c r="D121" s="1097" t="s">
        <v>739</v>
      </c>
      <c r="E121" s="1095"/>
      <c r="F121" s="1095"/>
      <c r="G121" s="1578">
        <v>0</v>
      </c>
      <c r="H121" s="1578"/>
      <c r="I121" s="1578">
        <v>0</v>
      </c>
      <c r="J121" s="1578"/>
      <c r="K121" s="1578">
        <v>0</v>
      </c>
      <c r="L121" s="1578"/>
      <c r="M121" s="2037">
        <f t="shared" si="6"/>
        <v>0</v>
      </c>
      <c r="N121" s="1578"/>
      <c r="O121" s="1578">
        <v>0</v>
      </c>
      <c r="P121" s="3539"/>
      <c r="Q121" s="3463"/>
    </row>
    <row r="122" spans="2:17" s="870" customFormat="1" ht="15.75">
      <c r="B122" s="2357">
        <v>21201</v>
      </c>
      <c r="C122" s="1093"/>
      <c r="D122" s="1097" t="s">
        <v>740</v>
      </c>
      <c r="E122" s="1095"/>
      <c r="F122" s="1095"/>
      <c r="G122" s="1578">
        <v>852226.82</v>
      </c>
      <c r="H122" s="1578"/>
      <c r="I122" s="1578">
        <v>900391.57</v>
      </c>
      <c r="J122" s="1578"/>
      <c r="K122" s="1578">
        <v>0</v>
      </c>
      <c r="L122" s="1578"/>
      <c r="M122" s="2037">
        <f t="shared" si="6"/>
        <v>47511.16</v>
      </c>
      <c r="N122" s="1578"/>
      <c r="O122" s="1578">
        <v>47511.16</v>
      </c>
      <c r="P122" s="3539"/>
      <c r="Q122" s="3463"/>
    </row>
    <row r="123" spans="2:17" s="870" customFormat="1" ht="15.75">
      <c r="B123" s="2357">
        <v>21202</v>
      </c>
      <c r="C123" s="1093"/>
      <c r="D123" s="1097" t="s">
        <v>741</v>
      </c>
      <c r="E123" s="1095"/>
      <c r="F123" s="1095"/>
      <c r="G123" s="1578">
        <v>258942.34</v>
      </c>
      <c r="H123" s="1578"/>
      <c r="I123" s="1578">
        <v>307454.62</v>
      </c>
      <c r="J123" s="1578"/>
      <c r="K123" s="1578">
        <v>0</v>
      </c>
      <c r="L123" s="1578"/>
      <c r="M123" s="2037">
        <f t="shared" si="6"/>
        <v>42672.44</v>
      </c>
      <c r="N123" s="1578"/>
      <c r="O123" s="1578">
        <v>42672.44</v>
      </c>
      <c r="P123" s="3539"/>
      <c r="Q123" s="3463"/>
    </row>
    <row r="124" spans="2:17" s="870" customFormat="1" ht="15.75">
      <c r="B124" s="2357">
        <v>21203</v>
      </c>
      <c r="C124" s="1093"/>
      <c r="D124" s="1097" t="s">
        <v>742</v>
      </c>
      <c r="E124" s="1095"/>
      <c r="F124" s="1095"/>
      <c r="G124" s="1578">
        <v>17203841.09</v>
      </c>
      <c r="H124" s="1578"/>
      <c r="I124" s="1578">
        <v>17961050.07</v>
      </c>
      <c r="J124" s="1578"/>
      <c r="K124" s="1578">
        <v>0</v>
      </c>
      <c r="L124" s="1578"/>
      <c r="M124" s="2037">
        <f t="shared" si="6"/>
        <v>1065912.08</v>
      </c>
      <c r="N124" s="1578"/>
      <c r="O124" s="1578">
        <v>1065912.08</v>
      </c>
      <c r="P124" s="3539"/>
      <c r="Q124" s="3463"/>
    </row>
    <row r="125" spans="2:17" s="870" customFormat="1" ht="15.75">
      <c r="B125" s="2357">
        <v>21204</v>
      </c>
      <c r="C125" s="1093"/>
      <c r="D125" s="1097" t="s">
        <v>743</v>
      </c>
      <c r="E125" s="1095"/>
      <c r="F125" s="1095"/>
      <c r="G125" s="1578">
        <v>0</v>
      </c>
      <c r="H125" s="1578"/>
      <c r="I125" s="1578">
        <v>0</v>
      </c>
      <c r="J125" s="1578"/>
      <c r="K125" s="1578">
        <v>0</v>
      </c>
      <c r="L125" s="1578"/>
      <c r="M125" s="2037">
        <f t="shared" si="6"/>
        <v>0</v>
      </c>
      <c r="N125" s="1578"/>
      <c r="O125" s="1578">
        <v>0</v>
      </c>
      <c r="P125" s="3539"/>
      <c r="Q125" s="3463"/>
    </row>
    <row r="126" spans="2:17" s="870" customFormat="1" ht="15.75">
      <c r="B126" s="2357">
        <v>21205</v>
      </c>
      <c r="C126" s="1093"/>
      <c r="D126" s="1097" t="s">
        <v>744</v>
      </c>
      <c r="E126" s="1095"/>
      <c r="F126" s="1095"/>
      <c r="G126" s="1578">
        <v>0</v>
      </c>
      <c r="H126" s="1578"/>
      <c r="I126" s="1578">
        <v>0</v>
      </c>
      <c r="J126" s="1578"/>
      <c r="K126" s="1578">
        <v>0</v>
      </c>
      <c r="L126" s="1578"/>
      <c r="M126" s="2037">
        <f t="shared" si="6"/>
        <v>0</v>
      </c>
      <c r="N126" s="1578"/>
      <c r="O126" s="1578">
        <v>0</v>
      </c>
      <c r="P126" s="3539"/>
      <c r="Q126" s="3463"/>
    </row>
    <row r="127" spans="2:17" s="870" customFormat="1" ht="15.75">
      <c r="B127" s="2359">
        <v>21401</v>
      </c>
      <c r="C127" s="1090"/>
      <c r="D127" s="1100" t="s">
        <v>745</v>
      </c>
      <c r="E127" s="1102"/>
      <c r="F127" s="1102"/>
      <c r="G127" s="1578">
        <v>0</v>
      </c>
      <c r="H127" s="1578"/>
      <c r="I127" s="1578">
        <v>490274.64</v>
      </c>
      <c r="J127" s="1578"/>
      <c r="K127" s="1578">
        <v>0</v>
      </c>
      <c r="L127" s="1578"/>
      <c r="M127" s="2037">
        <f t="shared" si="6"/>
        <v>0</v>
      </c>
      <c r="N127" s="1578"/>
      <c r="O127" s="1578">
        <v>0</v>
      </c>
      <c r="P127" s="3539"/>
      <c r="Q127" s="3463"/>
    </row>
    <row r="128" spans="2:17" s="870" customFormat="1" ht="15.75">
      <c r="B128" s="2359">
        <v>21402</v>
      </c>
      <c r="C128" s="1090"/>
      <c r="D128" s="1100" t="s">
        <v>746</v>
      </c>
      <c r="E128" s="1102"/>
      <c r="F128" s="1102"/>
      <c r="G128" s="1578">
        <v>416234795.69</v>
      </c>
      <c r="H128" s="1578"/>
      <c r="I128" s="1578">
        <v>298285040.17000002</v>
      </c>
      <c r="J128" s="1578"/>
      <c r="K128" s="1578">
        <v>0</v>
      </c>
      <c r="L128" s="1578"/>
      <c r="M128" s="2037">
        <f t="shared" si="6"/>
        <v>0</v>
      </c>
      <c r="N128" s="1578"/>
      <c r="O128" s="1578">
        <v>0</v>
      </c>
      <c r="P128" s="3539"/>
      <c r="Q128" s="3463"/>
    </row>
    <row r="129" spans="2:17" s="870" customFormat="1" ht="15.75">
      <c r="B129" s="2357">
        <v>21451</v>
      </c>
      <c r="C129" s="1093"/>
      <c r="D129" s="1094" t="s">
        <v>747</v>
      </c>
      <c r="E129" s="1095"/>
      <c r="F129" s="1095"/>
      <c r="G129" s="1578">
        <v>21836957.039999999</v>
      </c>
      <c r="H129" s="1578"/>
      <c r="I129" s="1578">
        <v>22251836.059999999</v>
      </c>
      <c r="J129" s="1578"/>
      <c r="K129" s="1578">
        <v>22803330.98</v>
      </c>
      <c r="L129" s="1578"/>
      <c r="M129" s="2037">
        <f t="shared" si="6"/>
        <v>903140.49</v>
      </c>
      <c r="N129" s="1578"/>
      <c r="O129" s="1578">
        <v>23706471.469999999</v>
      </c>
      <c r="P129" s="3539"/>
      <c r="Q129" s="3463"/>
    </row>
    <row r="130" spans="2:17" s="870" customFormat="1" ht="15.75">
      <c r="B130" s="2357">
        <v>21452</v>
      </c>
      <c r="C130" s="1093"/>
      <c r="D130" s="1097" t="s">
        <v>748</v>
      </c>
      <c r="E130" s="1095"/>
      <c r="F130" s="1095"/>
      <c r="G130" s="1578">
        <v>377860.61</v>
      </c>
      <c r="H130" s="1578"/>
      <c r="I130" s="1578">
        <v>854817.04</v>
      </c>
      <c r="J130" s="1578"/>
      <c r="K130" s="1578">
        <v>2752956.27</v>
      </c>
      <c r="L130" s="1578"/>
      <c r="M130" s="2037">
        <f t="shared" si="6"/>
        <v>-1560681.59</v>
      </c>
      <c r="N130" s="1578"/>
      <c r="O130" s="1578">
        <v>1192274.68</v>
      </c>
      <c r="P130" s="3539"/>
      <c r="Q130" s="3463"/>
    </row>
    <row r="131" spans="2:17" s="870" customFormat="1" ht="15.75">
      <c r="B131" s="2357">
        <v>21902</v>
      </c>
      <c r="C131" s="1093"/>
      <c r="D131" s="1094" t="s">
        <v>1381</v>
      </c>
      <c r="E131" s="1095"/>
      <c r="F131" s="1095"/>
      <c r="G131" s="1578">
        <v>0</v>
      </c>
      <c r="H131" s="1578"/>
      <c r="I131" s="1578">
        <v>0</v>
      </c>
      <c r="J131" s="1578"/>
      <c r="K131" s="1578">
        <v>0</v>
      </c>
      <c r="L131" s="1578"/>
      <c r="M131" s="2037">
        <f t="shared" si="6"/>
        <v>0</v>
      </c>
      <c r="N131" s="1578"/>
      <c r="O131" s="1578">
        <v>0</v>
      </c>
      <c r="P131" s="3539"/>
      <c r="Q131" s="3463"/>
    </row>
    <row r="132" spans="2:17" s="870" customFormat="1" ht="17.25">
      <c r="B132" s="2357">
        <v>21905</v>
      </c>
      <c r="C132" s="1093"/>
      <c r="D132" s="1403" t="s">
        <v>1384</v>
      </c>
      <c r="E132" s="1095"/>
      <c r="F132" s="1095"/>
      <c r="G132" s="1578">
        <v>0</v>
      </c>
      <c r="H132" s="1578"/>
      <c r="I132" s="1578">
        <v>0</v>
      </c>
      <c r="J132" s="1578"/>
      <c r="K132" s="1578">
        <v>0</v>
      </c>
      <c r="L132" s="1578"/>
      <c r="M132" s="2037">
        <f t="shared" si="6"/>
        <v>0</v>
      </c>
      <c r="N132" s="1578"/>
      <c r="O132" s="1578">
        <v>0</v>
      </c>
      <c r="P132" s="3539"/>
      <c r="Q132" s="3463"/>
    </row>
    <row r="133" spans="2:17" s="870" customFormat="1" ht="15.75">
      <c r="B133" s="2357">
        <v>21907</v>
      </c>
      <c r="C133" s="1093"/>
      <c r="D133" s="1097" t="s">
        <v>749</v>
      </c>
      <c r="E133" s="1095"/>
      <c r="F133" s="1095"/>
      <c r="G133" s="1578">
        <v>354096420.02999997</v>
      </c>
      <c r="H133" s="1578"/>
      <c r="I133" s="1578">
        <v>363308939.23000002</v>
      </c>
      <c r="J133" s="1578"/>
      <c r="K133" s="1578">
        <v>2.09547579288483E-9</v>
      </c>
      <c r="L133" s="1578"/>
      <c r="M133" s="2037">
        <f t="shared" si="6"/>
        <v>0</v>
      </c>
      <c r="N133" s="1578"/>
      <c r="O133" s="1578">
        <v>0</v>
      </c>
      <c r="P133" s="3539"/>
      <c r="Q133" s="3463"/>
    </row>
    <row r="134" spans="2:17" s="870" customFormat="1" ht="15.75">
      <c r="B134" s="2357">
        <v>21909</v>
      </c>
      <c r="C134" s="1093"/>
      <c r="D134" s="1097" t="s">
        <v>750</v>
      </c>
      <c r="E134" s="1095"/>
      <c r="F134" s="1095"/>
      <c r="G134" s="1578">
        <v>0</v>
      </c>
      <c r="H134" s="1578"/>
      <c r="I134" s="1578">
        <v>0</v>
      </c>
      <c r="J134" s="1578"/>
      <c r="K134" s="1578">
        <v>0</v>
      </c>
      <c r="L134" s="1578"/>
      <c r="M134" s="2037">
        <f t="shared" si="6"/>
        <v>0</v>
      </c>
      <c r="N134" s="1578"/>
      <c r="O134" s="1578">
        <v>0</v>
      </c>
      <c r="P134" s="3539"/>
      <c r="Q134" s="3463"/>
    </row>
    <row r="135" spans="2:17" s="870" customFormat="1" ht="15.75">
      <c r="B135" s="2357">
        <v>21911</v>
      </c>
      <c r="C135" s="1093"/>
      <c r="D135" s="1097" t="s">
        <v>751</v>
      </c>
      <c r="E135" s="1095"/>
      <c r="F135" s="1095"/>
      <c r="G135" s="1578">
        <v>161282.12</v>
      </c>
      <c r="H135" s="1578"/>
      <c r="I135" s="1578">
        <v>549083.16</v>
      </c>
      <c r="J135" s="1578"/>
      <c r="K135" s="1578">
        <v>721678.45</v>
      </c>
      <c r="L135" s="1578"/>
      <c r="M135" s="2037">
        <f t="shared" si="6"/>
        <v>-583228.04</v>
      </c>
      <c r="N135" s="1578"/>
      <c r="O135" s="1578">
        <v>138450.41</v>
      </c>
      <c r="P135" s="3539"/>
      <c r="Q135" s="3463"/>
    </row>
    <row r="136" spans="2:17" s="870" customFormat="1" ht="15.75">
      <c r="B136" s="2357">
        <v>21912</v>
      </c>
      <c r="C136" s="1093"/>
      <c r="D136" s="1094" t="s">
        <v>752</v>
      </c>
      <c r="E136" s="1095"/>
      <c r="F136" s="1095"/>
      <c r="G136" s="1578">
        <v>3819399.65</v>
      </c>
      <c r="H136" s="1578"/>
      <c r="I136" s="1578">
        <v>3614229.55</v>
      </c>
      <c r="J136" s="1578"/>
      <c r="K136" s="1578">
        <v>3717183.84</v>
      </c>
      <c r="L136" s="1578"/>
      <c r="M136" s="2037">
        <f t="shared" si="6"/>
        <v>-83741.77</v>
      </c>
      <c r="N136" s="1578"/>
      <c r="O136" s="1578">
        <v>3633442.07</v>
      </c>
      <c r="P136" s="3539"/>
      <c r="Q136" s="3463"/>
    </row>
    <row r="137" spans="2:17" s="870" customFormat="1" ht="15.75">
      <c r="B137" s="2357">
        <v>21913</v>
      </c>
      <c r="C137" s="1093"/>
      <c r="D137" s="1097" t="s">
        <v>1060</v>
      </c>
      <c r="E137" s="1095"/>
      <c r="F137" s="1095"/>
      <c r="G137" s="1578">
        <v>18292577.210000001</v>
      </c>
      <c r="H137" s="1578"/>
      <c r="I137" s="1578">
        <v>18292577.210000001</v>
      </c>
      <c r="J137" s="1578"/>
      <c r="K137" s="1578">
        <v>18292577.210000001</v>
      </c>
      <c r="L137" s="1578"/>
      <c r="M137" s="2037">
        <f t="shared" si="6"/>
        <v>0</v>
      </c>
      <c r="N137" s="1578"/>
      <c r="O137" s="1578">
        <v>18292577.210000001</v>
      </c>
      <c r="P137" s="3539"/>
      <c r="Q137" s="3463"/>
    </row>
    <row r="138" spans="2:17" s="870" customFormat="1" ht="15.75">
      <c r="B138" s="2357">
        <v>21937</v>
      </c>
      <c r="C138" s="1093"/>
      <c r="D138" s="1097" t="s">
        <v>753</v>
      </c>
      <c r="E138" s="1095"/>
      <c r="F138" s="1095"/>
      <c r="G138" s="1578">
        <v>236396.24</v>
      </c>
      <c r="H138" s="1578"/>
      <c r="I138" s="1578">
        <v>201494.83</v>
      </c>
      <c r="J138" s="1578"/>
      <c r="K138" s="1578">
        <v>0</v>
      </c>
      <c r="L138" s="1578"/>
      <c r="M138" s="2037">
        <f t="shared" si="6"/>
        <v>172697.39</v>
      </c>
      <c r="N138" s="1578"/>
      <c r="O138" s="1578">
        <v>172697.39</v>
      </c>
      <c r="P138" s="3539"/>
      <c r="Q138" s="3463"/>
    </row>
    <row r="139" spans="2:17" s="870" customFormat="1" ht="15.75">
      <c r="B139" s="2357">
        <v>21945</v>
      </c>
      <c r="C139" s="1093"/>
      <c r="D139" s="1094" t="s">
        <v>754</v>
      </c>
      <c r="E139" s="1095"/>
      <c r="F139" s="1095"/>
      <c r="G139" s="1578">
        <v>0</v>
      </c>
      <c r="H139" s="1578"/>
      <c r="I139" s="1578">
        <v>0</v>
      </c>
      <c r="J139" s="1578"/>
      <c r="K139" s="1578">
        <v>0</v>
      </c>
      <c r="L139" s="1578"/>
      <c r="M139" s="2037">
        <f t="shared" si="6"/>
        <v>0</v>
      </c>
      <c r="N139" s="1578"/>
      <c r="O139" s="1578">
        <v>0</v>
      </c>
      <c r="P139" s="3539"/>
      <c r="Q139" s="3463"/>
    </row>
    <row r="140" spans="2:17" s="870" customFormat="1" ht="15.75">
      <c r="B140" s="2357">
        <v>21959</v>
      </c>
      <c r="C140" s="1093"/>
      <c r="D140" s="1097" t="s">
        <v>755</v>
      </c>
      <c r="E140" s="1095"/>
      <c r="F140" s="1095"/>
      <c r="G140" s="1578">
        <v>0</v>
      </c>
      <c r="H140" s="1578"/>
      <c r="I140" s="1578">
        <v>0</v>
      </c>
      <c r="J140" s="1578"/>
      <c r="K140" s="1578">
        <v>0</v>
      </c>
      <c r="L140" s="1578"/>
      <c r="M140" s="2037">
        <f t="shared" si="6"/>
        <v>0</v>
      </c>
      <c r="N140" s="1578"/>
      <c r="O140" s="1578">
        <v>0</v>
      </c>
      <c r="P140" s="3539"/>
      <c r="Q140" s="3463"/>
    </row>
    <row r="141" spans="2:17" s="870" customFormat="1" ht="15.75">
      <c r="B141" s="2357">
        <v>21962</v>
      </c>
      <c r="C141" s="1093"/>
      <c r="D141" s="1097" t="s">
        <v>756</v>
      </c>
      <c r="E141" s="1095"/>
      <c r="F141" s="1095"/>
      <c r="G141" s="1578">
        <v>9698866.75</v>
      </c>
      <c r="H141" s="1578"/>
      <c r="I141" s="1578">
        <v>11069334.08</v>
      </c>
      <c r="J141" s="1578"/>
      <c r="K141" s="1578">
        <v>8756635.7599999998</v>
      </c>
      <c r="L141" s="1578"/>
      <c r="M141" s="2037">
        <f t="shared" si="6"/>
        <v>184253.34</v>
      </c>
      <c r="N141" s="1578"/>
      <c r="O141" s="1578">
        <v>8940889.0999999996</v>
      </c>
      <c r="P141" s="3539"/>
      <c r="Q141" s="3463"/>
    </row>
    <row r="142" spans="2:17" s="870" customFormat="1" ht="15.75">
      <c r="B142" s="2357">
        <v>21978</v>
      </c>
      <c r="C142" s="1093"/>
      <c r="D142" s="1094" t="s">
        <v>757</v>
      </c>
      <c r="E142" s="1095"/>
      <c r="F142" s="1095"/>
      <c r="G142" s="1578">
        <v>0</v>
      </c>
      <c r="H142" s="1578"/>
      <c r="I142" s="1578">
        <v>0</v>
      </c>
      <c r="J142" s="1578"/>
      <c r="K142" s="1578">
        <v>0</v>
      </c>
      <c r="L142" s="1578"/>
      <c r="M142" s="2037">
        <f t="shared" si="6"/>
        <v>0</v>
      </c>
      <c r="N142" s="1578"/>
      <c r="O142" s="1578">
        <v>0</v>
      </c>
      <c r="P142" s="3539"/>
      <c r="Q142" s="3463"/>
    </row>
    <row r="143" spans="2:17" s="870" customFormat="1" ht="15.75">
      <c r="B143" s="2357">
        <v>21979</v>
      </c>
      <c r="C143" s="1093"/>
      <c r="D143" s="1094" t="s">
        <v>758</v>
      </c>
      <c r="E143" s="1095"/>
      <c r="F143" s="1095"/>
      <c r="G143" s="1578">
        <v>0</v>
      </c>
      <c r="H143" s="1578"/>
      <c r="I143" s="1578">
        <v>0</v>
      </c>
      <c r="J143" s="1578"/>
      <c r="K143" s="1578">
        <v>0</v>
      </c>
      <c r="L143" s="1578"/>
      <c r="M143" s="2037">
        <f t="shared" si="6"/>
        <v>0</v>
      </c>
      <c r="N143" s="1578"/>
      <c r="O143" s="1578">
        <v>0</v>
      </c>
      <c r="P143" s="3539"/>
      <c r="Q143" s="3463"/>
    </row>
    <row r="144" spans="2:17" s="870" customFormat="1" ht="15.75">
      <c r="B144" s="2357">
        <v>21989</v>
      </c>
      <c r="C144" s="1093"/>
      <c r="D144" s="1094" t="s">
        <v>759</v>
      </c>
      <c r="E144" s="1095"/>
      <c r="F144" s="1095"/>
      <c r="G144" s="1578">
        <v>0</v>
      </c>
      <c r="H144" s="1578"/>
      <c r="I144" s="1578">
        <v>0</v>
      </c>
      <c r="J144" s="1578"/>
      <c r="K144" s="1578">
        <v>0</v>
      </c>
      <c r="L144" s="1578"/>
      <c r="M144" s="2037">
        <f t="shared" si="6"/>
        <v>0</v>
      </c>
      <c r="N144" s="1578"/>
      <c r="O144" s="1578">
        <v>0</v>
      </c>
      <c r="P144" s="3539"/>
      <c r="Q144" s="3463"/>
    </row>
    <row r="145" spans="2:17" s="870" customFormat="1" ht="15.75">
      <c r="B145" s="2357">
        <v>22003</v>
      </c>
      <c r="C145" s="1093"/>
      <c r="D145" s="1094" t="s">
        <v>760</v>
      </c>
      <c r="E145" s="1095"/>
      <c r="F145" s="1095"/>
      <c r="G145" s="1578">
        <v>0</v>
      </c>
      <c r="H145" s="1578"/>
      <c r="I145" s="1578">
        <v>0</v>
      </c>
      <c r="J145" s="1578"/>
      <c r="K145" s="1578">
        <v>0</v>
      </c>
      <c r="L145" s="1578"/>
      <c r="M145" s="2037">
        <f t="shared" si="6"/>
        <v>0</v>
      </c>
      <c r="N145" s="1578"/>
      <c r="O145" s="1578">
        <v>0</v>
      </c>
      <c r="P145" s="3539"/>
      <c r="Q145" s="3463"/>
    </row>
    <row r="146" spans="2:17" s="870" customFormat="1" ht="15.75">
      <c r="B146" s="2357">
        <v>22004</v>
      </c>
      <c r="C146" s="1093"/>
      <c r="D146" s="1097" t="s">
        <v>761</v>
      </c>
      <c r="E146" s="1095"/>
      <c r="F146" s="1095"/>
      <c r="G146" s="1578">
        <v>0</v>
      </c>
      <c r="H146" s="1578"/>
      <c r="I146" s="1578">
        <v>0</v>
      </c>
      <c r="J146" s="1578"/>
      <c r="K146" s="1578">
        <v>0</v>
      </c>
      <c r="L146" s="1578"/>
      <c r="M146" s="2037">
        <f t="shared" si="6"/>
        <v>0</v>
      </c>
      <c r="N146" s="1578"/>
      <c r="O146" s="1578">
        <v>0</v>
      </c>
      <c r="P146" s="3539"/>
      <c r="Q146" s="3463"/>
    </row>
    <row r="147" spans="2:17" s="870" customFormat="1" ht="15.75">
      <c r="B147" s="2357">
        <v>22006</v>
      </c>
      <c r="C147" s="1093"/>
      <c r="D147" s="1094" t="s">
        <v>762</v>
      </c>
      <c r="E147" s="1095"/>
      <c r="F147" s="1095"/>
      <c r="G147" s="1578">
        <v>0</v>
      </c>
      <c r="H147" s="1578"/>
      <c r="I147" s="1578">
        <v>0</v>
      </c>
      <c r="J147" s="1578"/>
      <c r="K147" s="1578">
        <v>0</v>
      </c>
      <c r="L147" s="1578"/>
      <c r="M147" s="2037">
        <f t="shared" si="6"/>
        <v>0</v>
      </c>
      <c r="N147" s="1578"/>
      <c r="O147" s="1578">
        <v>0</v>
      </c>
      <c r="P147" s="3539"/>
      <c r="Q147" s="3463"/>
    </row>
    <row r="148" spans="2:17" s="870" customFormat="1" ht="15.75">
      <c r="B148" s="2357">
        <v>22007</v>
      </c>
      <c r="C148" s="1093"/>
      <c r="D148" s="1097" t="s">
        <v>763</v>
      </c>
      <c r="E148" s="1095"/>
      <c r="F148" s="1095"/>
      <c r="G148" s="1578">
        <v>0</v>
      </c>
      <c r="H148" s="1578"/>
      <c r="I148" s="1578">
        <v>0</v>
      </c>
      <c r="J148" s="1578"/>
      <c r="K148" s="1578">
        <v>0</v>
      </c>
      <c r="L148" s="1578"/>
      <c r="M148" s="2037">
        <f t="shared" si="6"/>
        <v>0</v>
      </c>
      <c r="N148" s="1578"/>
      <c r="O148" s="1578">
        <v>0</v>
      </c>
      <c r="P148" s="3539"/>
      <c r="Q148" s="3463"/>
    </row>
    <row r="149" spans="2:17" s="870" customFormat="1" ht="15.75">
      <c r="B149" s="2357">
        <v>22008</v>
      </c>
      <c r="C149" s="1093"/>
      <c r="D149" s="1097" t="s">
        <v>1477</v>
      </c>
      <c r="E149" s="1095"/>
      <c r="F149" s="1095"/>
      <c r="G149" s="1578">
        <v>0</v>
      </c>
      <c r="H149" s="1578"/>
      <c r="I149" s="1578">
        <v>0</v>
      </c>
      <c r="J149" s="1578"/>
      <c r="K149" s="1578">
        <v>0</v>
      </c>
      <c r="L149" s="1578"/>
      <c r="M149" s="2037">
        <f t="shared" ref="M149" si="8">ROUND(SUM(O149)-SUM(K149),2)</f>
        <v>0</v>
      </c>
      <c r="N149" s="1578"/>
      <c r="O149" s="1578">
        <v>0</v>
      </c>
      <c r="P149" s="3539"/>
      <c r="Q149" s="3463"/>
    </row>
    <row r="150" spans="2:17" s="870" customFormat="1" ht="15.75">
      <c r="B150" s="2357">
        <v>22009</v>
      </c>
      <c r="C150" s="1093"/>
      <c r="D150" s="1097" t="s">
        <v>764</v>
      </c>
      <c r="E150" s="1095"/>
      <c r="F150" s="1095"/>
      <c r="G150" s="1578">
        <v>212493.42</v>
      </c>
      <c r="H150" s="1578"/>
      <c r="I150" s="1578">
        <v>224509.14</v>
      </c>
      <c r="J150" s="1578"/>
      <c r="K150" s="1578">
        <v>215464.23</v>
      </c>
      <c r="L150" s="1578"/>
      <c r="M150" s="2037">
        <f t="shared" si="6"/>
        <v>470.2</v>
      </c>
      <c r="N150" s="1578"/>
      <c r="O150" s="1578">
        <v>215934.43</v>
      </c>
      <c r="P150" s="3539"/>
      <c r="Q150" s="3463"/>
    </row>
    <row r="151" spans="2:17" s="870" customFormat="1" ht="15.75">
      <c r="B151" s="2357">
        <v>22032</v>
      </c>
      <c r="C151" s="1093"/>
      <c r="D151" s="1097" t="s">
        <v>765</v>
      </c>
      <c r="E151" s="1095"/>
      <c r="F151" s="1095"/>
      <c r="G151" s="1578">
        <v>12161392.710000001</v>
      </c>
      <c r="H151" s="1578"/>
      <c r="I151" s="1578">
        <v>12763703</v>
      </c>
      <c r="J151" s="1578"/>
      <c r="K151" s="1578">
        <v>9575905.4700000007</v>
      </c>
      <c r="L151" s="1578"/>
      <c r="M151" s="2037">
        <f t="shared" si="6"/>
        <v>586889.03</v>
      </c>
      <c r="N151" s="1578"/>
      <c r="O151" s="1578">
        <v>10162794.5</v>
      </c>
      <c r="P151" s="3539"/>
      <c r="Q151" s="3463"/>
    </row>
    <row r="152" spans="2:17" s="870" customFormat="1" ht="15.75">
      <c r="B152" s="2357">
        <v>22034</v>
      </c>
      <c r="C152" s="1093"/>
      <c r="D152" s="1097" t="s">
        <v>766</v>
      </c>
      <c r="E152" s="1095"/>
      <c r="F152" s="1095"/>
      <c r="G152" s="1578">
        <v>0</v>
      </c>
      <c r="H152" s="1578"/>
      <c r="I152" s="1578">
        <v>0</v>
      </c>
      <c r="J152" s="1578"/>
      <c r="K152" s="1578">
        <v>0</v>
      </c>
      <c r="L152" s="1578"/>
      <c r="M152" s="2037">
        <f t="shared" si="6"/>
        <v>0</v>
      </c>
      <c r="N152" s="1578"/>
      <c r="O152" s="1578">
        <v>0</v>
      </c>
      <c r="P152" s="3539"/>
      <c r="Q152" s="3463"/>
    </row>
    <row r="153" spans="2:17" s="870" customFormat="1" ht="15.75">
      <c r="B153" s="2357">
        <v>22036</v>
      </c>
      <c r="C153" s="1093"/>
      <c r="D153" s="1097" t="s">
        <v>767</v>
      </c>
      <c r="E153" s="1095"/>
      <c r="F153" s="1095"/>
      <c r="G153" s="1578">
        <v>0</v>
      </c>
      <c r="H153" s="1578"/>
      <c r="I153" s="1578">
        <v>0</v>
      </c>
      <c r="J153" s="1578"/>
      <c r="K153" s="1578">
        <v>0</v>
      </c>
      <c r="L153" s="1578"/>
      <c r="M153" s="2037">
        <f t="shared" si="6"/>
        <v>0</v>
      </c>
      <c r="N153" s="1578"/>
      <c r="O153" s="1578">
        <v>0</v>
      </c>
      <c r="P153" s="3539"/>
      <c r="Q153" s="3463"/>
    </row>
    <row r="154" spans="2:17" s="870" customFormat="1" ht="15.75">
      <c r="B154" s="2357">
        <v>22039</v>
      </c>
      <c r="C154" s="1093"/>
      <c r="D154" s="1097" t="s">
        <v>768</v>
      </c>
      <c r="E154" s="1095"/>
      <c r="F154" s="1095"/>
      <c r="G154" s="1578">
        <v>540894.28</v>
      </c>
      <c r="H154" s="1578"/>
      <c r="I154" s="1578">
        <v>720903.74</v>
      </c>
      <c r="J154" s="1578"/>
      <c r="K154" s="1578">
        <v>896301</v>
      </c>
      <c r="L154" s="1578"/>
      <c r="M154" s="2037">
        <f t="shared" si="6"/>
        <v>-725861.38</v>
      </c>
      <c r="N154" s="1578"/>
      <c r="O154" s="1578">
        <v>170439.62</v>
      </c>
      <c r="P154" s="3539"/>
      <c r="Q154" s="3463"/>
    </row>
    <row r="155" spans="2:17" s="870" customFormat="1" ht="15.75">
      <c r="B155" s="2357">
        <v>22046</v>
      </c>
      <c r="C155" s="1093"/>
      <c r="D155" s="1097" t="s">
        <v>769</v>
      </c>
      <c r="E155" s="1095"/>
      <c r="F155" s="1095"/>
      <c r="G155" s="1578">
        <v>70463570.989999995</v>
      </c>
      <c r="H155" s="1578"/>
      <c r="I155" s="1578">
        <v>72558192.849999994</v>
      </c>
      <c r="J155" s="1578"/>
      <c r="K155" s="1578">
        <v>72944744.799999997</v>
      </c>
      <c r="L155" s="1578"/>
      <c r="M155" s="2037">
        <f t="shared" si="6"/>
        <v>-128371.11</v>
      </c>
      <c r="N155" s="1578"/>
      <c r="O155" s="1578">
        <v>72816373.689999998</v>
      </c>
      <c r="P155" s="3539"/>
      <c r="Q155" s="3463"/>
    </row>
    <row r="156" spans="2:17" s="870" customFormat="1" ht="15.75">
      <c r="B156" s="2357">
        <v>22053</v>
      </c>
      <c r="C156" s="1093"/>
      <c r="D156" s="1097" t="s">
        <v>770</v>
      </c>
      <c r="E156" s="1095"/>
      <c r="F156" s="1095"/>
      <c r="G156" s="1578">
        <v>4992808.51</v>
      </c>
      <c r="H156" s="1578"/>
      <c r="I156" s="1578">
        <v>5589056.4900000002</v>
      </c>
      <c r="J156" s="1578"/>
      <c r="K156" s="1578">
        <v>2742950.49</v>
      </c>
      <c r="L156" s="1578"/>
      <c r="M156" s="2037">
        <f t="shared" si="6"/>
        <v>427834.36</v>
      </c>
      <c r="N156" s="1578"/>
      <c r="O156" s="1578">
        <v>3170784.85</v>
      </c>
      <c r="P156" s="3539"/>
      <c r="Q156" s="3463"/>
    </row>
    <row r="157" spans="2:17" s="870" customFormat="1" ht="15.75">
      <c r="B157" s="2357">
        <v>22054</v>
      </c>
      <c r="C157" s="1093"/>
      <c r="D157" s="1097" t="s">
        <v>771</v>
      </c>
      <c r="E157" s="1095"/>
      <c r="F157" s="1095"/>
      <c r="G157" s="1578">
        <v>5825011.0599999996</v>
      </c>
      <c r="H157" s="1578"/>
      <c r="I157" s="1578">
        <v>5771602</v>
      </c>
      <c r="J157" s="1578"/>
      <c r="K157" s="1578">
        <v>5599592.9299999997</v>
      </c>
      <c r="L157" s="1578"/>
      <c r="M157" s="2037">
        <f t="shared" si="6"/>
        <v>-33982.379999999997</v>
      </c>
      <c r="N157" s="1578"/>
      <c r="O157" s="1578">
        <v>5565610.5499999998</v>
      </c>
      <c r="P157" s="3539"/>
      <c r="Q157" s="3463"/>
    </row>
    <row r="158" spans="2:17" s="870" customFormat="1" ht="15.75">
      <c r="B158" s="2357">
        <v>22055</v>
      </c>
      <c r="C158" s="1093"/>
      <c r="D158" s="1097" t="s">
        <v>772</v>
      </c>
      <c r="E158" s="1095"/>
      <c r="F158" s="1095"/>
      <c r="G158" s="1578">
        <v>9674891.7400000002</v>
      </c>
      <c r="H158" s="1578"/>
      <c r="I158" s="1578">
        <v>8193286.0700000003</v>
      </c>
      <c r="J158" s="1578"/>
      <c r="K158" s="1578">
        <v>11762947.43</v>
      </c>
      <c r="L158" s="1578"/>
      <c r="M158" s="2037">
        <f t="shared" si="6"/>
        <v>-1686709.4</v>
      </c>
      <c r="N158" s="1578"/>
      <c r="O158" s="1578">
        <v>10076238.029999999</v>
      </c>
      <c r="P158" s="3539"/>
      <c r="Q158" s="3463"/>
    </row>
    <row r="159" spans="2:17" s="870" customFormat="1" ht="15.75">
      <c r="B159" s="2357">
        <v>22056</v>
      </c>
      <c r="C159" s="1093"/>
      <c r="D159" s="1097" t="s">
        <v>773</v>
      </c>
      <c r="E159" s="1095"/>
      <c r="F159" s="1095"/>
      <c r="G159" s="1578">
        <v>1911889.2</v>
      </c>
      <c r="H159" s="1578"/>
      <c r="I159" s="1578">
        <v>2216447</v>
      </c>
      <c r="J159" s="1578"/>
      <c r="K159" s="1578">
        <v>0</v>
      </c>
      <c r="L159" s="1578"/>
      <c r="M159" s="2037">
        <f t="shared" si="6"/>
        <v>534976.76</v>
      </c>
      <c r="N159" s="1578"/>
      <c r="O159" s="1578">
        <v>534976.76</v>
      </c>
      <c r="P159" s="3539"/>
      <c r="Q159" s="3463"/>
    </row>
    <row r="160" spans="2:17" s="870" customFormat="1" ht="15.75">
      <c r="B160" s="2357">
        <v>22062</v>
      </c>
      <c r="C160" s="1093"/>
      <c r="D160" s="1097" t="s">
        <v>774</v>
      </c>
      <c r="E160" s="1095"/>
      <c r="F160" s="1095"/>
      <c r="G160" s="1578">
        <v>0</v>
      </c>
      <c r="H160" s="1578"/>
      <c r="I160" s="1578">
        <v>0</v>
      </c>
      <c r="J160" s="1578"/>
      <c r="K160" s="1578">
        <v>0</v>
      </c>
      <c r="L160" s="1578"/>
      <c r="M160" s="2037">
        <f t="shared" si="6"/>
        <v>0</v>
      </c>
      <c r="N160" s="1578"/>
      <c r="O160" s="1578">
        <v>0</v>
      </c>
      <c r="P160" s="3539"/>
      <c r="Q160" s="3463"/>
    </row>
    <row r="161" spans="2:17" s="870" customFormat="1" ht="15.75">
      <c r="B161" s="2357">
        <v>22063</v>
      </c>
      <c r="C161" s="1093"/>
      <c r="D161" s="1097" t="s">
        <v>775</v>
      </c>
      <c r="E161" s="1095"/>
      <c r="F161" s="1095"/>
      <c r="G161" s="1578">
        <v>1752912.19</v>
      </c>
      <c r="H161" s="1578"/>
      <c r="I161" s="1578">
        <v>3568481.34</v>
      </c>
      <c r="J161" s="1578"/>
      <c r="K161" s="1578">
        <v>2559100.44</v>
      </c>
      <c r="L161" s="1578"/>
      <c r="M161" s="2037">
        <f t="shared" si="6"/>
        <v>-981505.57</v>
      </c>
      <c r="N161" s="1578"/>
      <c r="O161" s="1578">
        <v>1577594.87</v>
      </c>
      <c r="P161" s="3539"/>
      <c r="Q161" s="3463"/>
    </row>
    <row r="162" spans="2:17" s="870" customFormat="1" ht="15.75">
      <c r="B162" s="2357">
        <v>22078</v>
      </c>
      <c r="C162" s="1093"/>
      <c r="D162" s="1097" t="s">
        <v>776</v>
      </c>
      <c r="E162" s="1095"/>
      <c r="F162" s="1095"/>
      <c r="G162" s="1578">
        <v>0</v>
      </c>
      <c r="H162" s="1578"/>
      <c r="I162" s="1578">
        <v>0</v>
      </c>
      <c r="J162" s="1578"/>
      <c r="K162" s="1578">
        <v>0</v>
      </c>
      <c r="L162" s="1578"/>
      <c r="M162" s="2037">
        <f t="shared" si="6"/>
        <v>0</v>
      </c>
      <c r="N162" s="1578"/>
      <c r="O162" s="1578">
        <v>0</v>
      </c>
      <c r="P162" s="3539"/>
      <c r="Q162" s="3463"/>
    </row>
    <row r="163" spans="2:17" s="870" customFormat="1" ht="15.75">
      <c r="B163" s="2357">
        <v>22085</v>
      </c>
      <c r="C163" s="1093"/>
      <c r="D163" s="1097" t="s">
        <v>777</v>
      </c>
      <c r="E163" s="1095"/>
      <c r="F163" s="1095"/>
      <c r="G163" s="1578">
        <v>9161288.1400000006</v>
      </c>
      <c r="H163" s="1578"/>
      <c r="I163" s="1578">
        <v>9477080.8200000003</v>
      </c>
      <c r="J163" s="1578"/>
      <c r="K163" s="1578">
        <v>9787186.8100000005</v>
      </c>
      <c r="L163" s="1578"/>
      <c r="M163" s="2037">
        <f t="shared" si="6"/>
        <v>501961.46</v>
      </c>
      <c r="N163" s="1578"/>
      <c r="O163" s="1578">
        <v>10289148.27</v>
      </c>
      <c r="P163" s="3539"/>
      <c r="Q163" s="3463"/>
    </row>
    <row r="164" spans="2:17" s="870" customFormat="1" ht="15.75">
      <c r="B164" s="2357">
        <v>22087</v>
      </c>
      <c r="C164" s="1093"/>
      <c r="D164" s="1094" t="s">
        <v>778</v>
      </c>
      <c r="E164" s="1095"/>
      <c r="F164" s="1095"/>
      <c r="G164" s="1578">
        <v>646762.72</v>
      </c>
      <c r="H164" s="1578"/>
      <c r="I164" s="1578">
        <v>646762.72</v>
      </c>
      <c r="J164" s="1578"/>
      <c r="K164" s="1578">
        <v>646762.72</v>
      </c>
      <c r="L164" s="1578"/>
      <c r="M164" s="2037">
        <f t="shared" si="6"/>
        <v>0</v>
      </c>
      <c r="N164" s="1578"/>
      <c r="O164" s="1578">
        <v>646762.72</v>
      </c>
      <c r="P164" s="3539" t="s">
        <v>939</v>
      </c>
      <c r="Q164" s="3463"/>
    </row>
    <row r="165" spans="2:17" s="870" customFormat="1" ht="15.75">
      <c r="B165" s="2357">
        <v>22090</v>
      </c>
      <c r="C165" s="1093"/>
      <c r="D165" s="1097" t="s">
        <v>779</v>
      </c>
      <c r="E165" s="1095"/>
      <c r="F165" s="1095"/>
      <c r="G165" s="1578">
        <v>3043431.93</v>
      </c>
      <c r="H165" s="1578"/>
      <c r="I165" s="1578">
        <v>3018055.88</v>
      </c>
      <c r="J165" s="1578"/>
      <c r="K165" s="1578">
        <v>3485302.51</v>
      </c>
      <c r="L165" s="1578"/>
      <c r="M165" s="2037">
        <f t="shared" si="6"/>
        <v>-3485302.51</v>
      </c>
      <c r="N165" s="1578"/>
      <c r="O165" s="1578">
        <v>0</v>
      </c>
      <c r="P165" s="3539"/>
      <c r="Q165" s="3463"/>
    </row>
    <row r="166" spans="2:17" s="870" customFormat="1" ht="15.75">
      <c r="B166" s="2357">
        <v>22100</v>
      </c>
      <c r="C166" s="1093"/>
      <c r="D166" s="1097" t="s">
        <v>780</v>
      </c>
      <c r="E166" s="1095"/>
      <c r="F166" s="1095"/>
      <c r="G166" s="1578">
        <v>3762849.42</v>
      </c>
      <c r="H166" s="1578"/>
      <c r="I166" s="1578">
        <v>3710506.29</v>
      </c>
      <c r="J166" s="1578"/>
      <c r="K166" s="1578">
        <v>3377427.05</v>
      </c>
      <c r="L166" s="1578"/>
      <c r="M166" s="2037">
        <f t="shared" ref="M166:M181" si="9">ROUND(SUM(O166)-SUM(K166),2)</f>
        <v>-31401.35</v>
      </c>
      <c r="N166" s="1578"/>
      <c r="O166" s="1578">
        <v>3346025.7</v>
      </c>
      <c r="P166" s="3539"/>
      <c r="Q166" s="3463"/>
    </row>
    <row r="167" spans="2:17" s="870" customFormat="1" ht="15.75">
      <c r="B167" s="2357">
        <v>22130</v>
      </c>
      <c r="C167" s="1093"/>
      <c r="D167" s="1094" t="s">
        <v>781</v>
      </c>
      <c r="E167" s="1095"/>
      <c r="F167" s="1095"/>
      <c r="G167" s="1578">
        <v>0</v>
      </c>
      <c r="H167" s="1578"/>
      <c r="I167" s="1578">
        <v>0</v>
      </c>
      <c r="J167" s="1578"/>
      <c r="K167" s="1578">
        <v>0</v>
      </c>
      <c r="L167" s="1578"/>
      <c r="M167" s="2037">
        <f t="shared" si="9"/>
        <v>0</v>
      </c>
      <c r="N167" s="1578"/>
      <c r="O167" s="1578">
        <v>0</v>
      </c>
      <c r="P167" s="3539"/>
      <c r="Q167" s="3463"/>
    </row>
    <row r="168" spans="2:17" s="870" customFormat="1" ht="15.75">
      <c r="B168" s="2357">
        <v>22135</v>
      </c>
      <c r="C168" s="1093"/>
      <c r="D168" s="1094" t="s">
        <v>782</v>
      </c>
      <c r="E168" s="1095"/>
      <c r="F168" s="1095"/>
      <c r="G168" s="1578">
        <v>0</v>
      </c>
      <c r="H168" s="1578"/>
      <c r="I168" s="1578">
        <v>0</v>
      </c>
      <c r="J168" s="1578"/>
      <c r="K168" s="1578">
        <v>0</v>
      </c>
      <c r="L168" s="1578"/>
      <c r="M168" s="2037">
        <f t="shared" si="9"/>
        <v>0</v>
      </c>
      <c r="N168" s="1578"/>
      <c r="O168" s="1578">
        <v>0</v>
      </c>
      <c r="P168" s="3539"/>
      <c r="Q168" s="3463"/>
    </row>
    <row r="169" spans="2:17" s="870" customFormat="1" ht="15.75">
      <c r="B169" s="2357">
        <v>22144</v>
      </c>
      <c r="C169" s="1093"/>
      <c r="D169" s="1097" t="s">
        <v>783</v>
      </c>
      <c r="E169" s="1095"/>
      <c r="F169" s="1095"/>
      <c r="G169" s="1578">
        <v>0</v>
      </c>
      <c r="H169" s="1578"/>
      <c r="I169" s="1578">
        <v>0</v>
      </c>
      <c r="J169" s="1578"/>
      <c r="K169" s="1578">
        <v>0</v>
      </c>
      <c r="L169" s="1578"/>
      <c r="M169" s="2037">
        <f t="shared" si="9"/>
        <v>0</v>
      </c>
      <c r="N169" s="1578"/>
      <c r="O169" s="1578">
        <v>0</v>
      </c>
      <c r="P169" s="3539"/>
      <c r="Q169" s="3463"/>
    </row>
    <row r="170" spans="2:17" s="870" customFormat="1" ht="15.75">
      <c r="B170" s="2357">
        <v>22151</v>
      </c>
      <c r="C170" s="1093"/>
      <c r="D170" s="1094" t="s">
        <v>784</v>
      </c>
      <c r="E170" s="1095"/>
      <c r="F170" s="1095"/>
      <c r="G170" s="1578">
        <v>152930.94</v>
      </c>
      <c r="H170" s="1578"/>
      <c r="I170" s="1578">
        <v>84616.98</v>
      </c>
      <c r="J170" s="1578"/>
      <c r="K170" s="1578">
        <v>113917.49</v>
      </c>
      <c r="L170" s="1578"/>
      <c r="M170" s="2037">
        <f t="shared" si="9"/>
        <v>84421.31</v>
      </c>
      <c r="N170" s="1578"/>
      <c r="O170" s="1578">
        <v>198338.8</v>
      </c>
      <c r="P170" s="3539"/>
      <c r="Q170" s="3463"/>
    </row>
    <row r="171" spans="2:17" s="870" customFormat="1" ht="15.75">
      <c r="B171" s="2357">
        <v>22156</v>
      </c>
      <c r="C171" s="1093"/>
      <c r="D171" s="1094" t="s">
        <v>785</v>
      </c>
      <c r="E171" s="1095"/>
      <c r="F171" s="1095"/>
      <c r="G171" s="1578">
        <v>0</v>
      </c>
      <c r="H171" s="1578"/>
      <c r="I171" s="1578">
        <v>0</v>
      </c>
      <c r="J171" s="1578"/>
      <c r="K171" s="1578">
        <v>0</v>
      </c>
      <c r="L171" s="1578"/>
      <c r="M171" s="2037">
        <f t="shared" si="9"/>
        <v>0</v>
      </c>
      <c r="N171" s="1578"/>
      <c r="O171" s="1578">
        <v>0</v>
      </c>
      <c r="P171" s="3539"/>
      <c r="Q171" s="3463"/>
    </row>
    <row r="172" spans="2:17" s="870" customFormat="1" ht="15.75">
      <c r="B172" s="2357">
        <v>22158</v>
      </c>
      <c r="C172" s="1093"/>
      <c r="D172" s="1097" t="s">
        <v>786</v>
      </c>
      <c r="E172" s="1095"/>
      <c r="F172" s="1095"/>
      <c r="G172" s="1578">
        <v>175504.23</v>
      </c>
      <c r="H172" s="1578"/>
      <c r="I172" s="1578">
        <v>114401.15</v>
      </c>
      <c r="J172" s="1578"/>
      <c r="K172" s="1578">
        <v>151146.88</v>
      </c>
      <c r="L172" s="1578"/>
      <c r="M172" s="2037">
        <f t="shared" si="9"/>
        <v>-578.08000000000004</v>
      </c>
      <c r="N172" s="1578"/>
      <c r="O172" s="1578">
        <v>150568.79999999999</v>
      </c>
      <c r="P172" s="3539"/>
      <c r="Q172" s="3463"/>
    </row>
    <row r="173" spans="2:17" s="870" customFormat="1" ht="15.75">
      <c r="B173" s="2357">
        <v>22168</v>
      </c>
      <c r="C173" s="1093"/>
      <c r="D173" s="1097" t="s">
        <v>787</v>
      </c>
      <c r="E173" s="1095"/>
      <c r="F173" s="1095"/>
      <c r="G173" s="1578">
        <v>0</v>
      </c>
      <c r="H173" s="1578"/>
      <c r="I173" s="1578">
        <v>0</v>
      </c>
      <c r="J173" s="1578"/>
      <c r="K173" s="1578">
        <v>0</v>
      </c>
      <c r="L173" s="1578"/>
      <c r="M173" s="2037">
        <f t="shared" si="9"/>
        <v>0</v>
      </c>
      <c r="N173" s="1578"/>
      <c r="O173" s="1578">
        <v>0</v>
      </c>
      <c r="P173" s="3539"/>
      <c r="Q173" s="3463"/>
    </row>
    <row r="174" spans="2:17" s="870" customFormat="1" ht="15.75">
      <c r="B174" s="2357">
        <v>22654</v>
      </c>
      <c r="C174" s="1093"/>
      <c r="D174" s="1094" t="s">
        <v>788</v>
      </c>
      <c r="E174" s="1095"/>
      <c r="F174" s="1095"/>
      <c r="G174" s="1578">
        <v>19715090.91</v>
      </c>
      <c r="H174" s="1578"/>
      <c r="I174" s="1578">
        <v>19739570.43</v>
      </c>
      <c r="J174" s="1578"/>
      <c r="K174" s="1578">
        <v>19762178.699999999</v>
      </c>
      <c r="L174" s="1578"/>
      <c r="M174" s="2037">
        <f t="shared" si="9"/>
        <v>26614.22</v>
      </c>
      <c r="N174" s="1578"/>
      <c r="O174" s="1578">
        <v>19788792.920000002</v>
      </c>
      <c r="P174" s="3539"/>
      <c r="Q174" s="3463"/>
    </row>
    <row r="175" spans="2:17" s="870" customFormat="1" ht="15.75">
      <c r="B175" s="2357">
        <v>22751</v>
      </c>
      <c r="C175" s="1093"/>
      <c r="D175" s="1094" t="s">
        <v>1403</v>
      </c>
      <c r="E175" s="1095"/>
      <c r="F175" s="1095"/>
      <c r="G175" s="1578">
        <v>56817.41</v>
      </c>
      <c r="H175" s="1578"/>
      <c r="I175" s="1578">
        <v>101563.92</v>
      </c>
      <c r="J175" s="1578"/>
      <c r="K175" s="1578">
        <v>141640.85</v>
      </c>
      <c r="L175" s="1578"/>
      <c r="M175" s="2037">
        <f>ROUND(SUM(O175)-SUM(K175),2)</f>
        <v>71626.3</v>
      </c>
      <c r="N175" s="1578"/>
      <c r="O175" s="1578">
        <v>213267.15</v>
      </c>
      <c r="P175" s="3539"/>
      <c r="Q175" s="3463"/>
    </row>
    <row r="176" spans="2:17" s="870" customFormat="1" ht="15.75">
      <c r="B176" s="2357">
        <v>22802</v>
      </c>
      <c r="C176" s="1093"/>
      <c r="D176" s="1097" t="s">
        <v>789</v>
      </c>
      <c r="E176" s="1095"/>
      <c r="F176" s="1095"/>
      <c r="G176" s="1578">
        <v>0</v>
      </c>
      <c r="H176" s="1578"/>
      <c r="I176" s="1578">
        <v>0</v>
      </c>
      <c r="J176" s="1578"/>
      <c r="K176" s="1578">
        <v>0</v>
      </c>
      <c r="L176" s="1578"/>
      <c r="M176" s="2037">
        <f t="shared" si="9"/>
        <v>0</v>
      </c>
      <c r="N176" s="1578"/>
      <c r="O176" s="1578">
        <v>0</v>
      </c>
      <c r="P176" s="3539"/>
      <c r="Q176" s="3463"/>
    </row>
    <row r="177" spans="2:17" s="870" customFormat="1" ht="15.75">
      <c r="B177" s="2357">
        <v>23001</v>
      </c>
      <c r="C177" s="1093"/>
      <c r="D177" s="1094" t="s">
        <v>790</v>
      </c>
      <c r="E177" s="1095"/>
      <c r="F177" s="1095"/>
      <c r="G177" s="1578">
        <v>10484616.890000001</v>
      </c>
      <c r="H177" s="1578"/>
      <c r="I177" s="1578">
        <v>10640303.58</v>
      </c>
      <c r="J177" s="1578"/>
      <c r="K177" s="1578">
        <v>10566615.57</v>
      </c>
      <c r="L177" s="1578"/>
      <c r="M177" s="2037">
        <f t="shared" si="9"/>
        <v>163796.76999999999</v>
      </c>
      <c r="N177" s="1578"/>
      <c r="O177" s="1578">
        <v>10730412.34</v>
      </c>
      <c r="P177" s="3539"/>
      <c r="Q177" s="3463"/>
    </row>
    <row r="178" spans="2:17" s="870" customFormat="1" ht="15.75">
      <c r="B178" s="2357">
        <v>23102</v>
      </c>
      <c r="C178" s="1093"/>
      <c r="D178" s="1097" t="s">
        <v>791</v>
      </c>
      <c r="E178" s="1095"/>
      <c r="F178" s="1095"/>
      <c r="G178" s="1578">
        <v>5350949.7</v>
      </c>
      <c r="H178" s="1578"/>
      <c r="I178" s="1578">
        <v>5350949.7</v>
      </c>
      <c r="J178" s="1578"/>
      <c r="K178" s="1578">
        <v>5350949.7</v>
      </c>
      <c r="L178" s="1578"/>
      <c r="M178" s="2037">
        <f t="shared" si="9"/>
        <v>0</v>
      </c>
      <c r="N178" s="1578"/>
      <c r="O178" s="1578">
        <v>5350949.7</v>
      </c>
      <c r="P178" s="3539"/>
      <c r="Q178" s="3463"/>
    </row>
    <row r="179" spans="2:17" s="870" customFormat="1" ht="15.75">
      <c r="B179" s="2357">
        <v>23151</v>
      </c>
      <c r="C179" s="1093"/>
      <c r="D179" s="1094" t="s">
        <v>792</v>
      </c>
      <c r="E179" s="1095"/>
      <c r="F179" s="1095"/>
      <c r="G179" s="1578">
        <v>50333054.32</v>
      </c>
      <c r="H179" s="1578"/>
      <c r="I179" s="1578">
        <v>52492813.770000003</v>
      </c>
      <c r="J179" s="1578"/>
      <c r="K179" s="1578">
        <v>25781512.640000001</v>
      </c>
      <c r="L179" s="1578"/>
      <c r="M179" s="2037">
        <f t="shared" si="9"/>
        <v>2851325.11</v>
      </c>
      <c r="N179" s="1578"/>
      <c r="O179" s="1578">
        <v>28632837.75</v>
      </c>
      <c r="P179" s="3539"/>
      <c r="Q179" s="3463"/>
    </row>
    <row r="180" spans="2:17" s="870" customFormat="1" ht="15.75">
      <c r="B180" s="1086">
        <v>23701</v>
      </c>
      <c r="C180" s="1093"/>
      <c r="D180" s="1094" t="s">
        <v>1038</v>
      </c>
      <c r="E180" s="1095"/>
      <c r="F180" s="1095"/>
      <c r="G180" s="1578">
        <v>0</v>
      </c>
      <c r="H180" s="1578"/>
      <c r="I180" s="1578">
        <v>0</v>
      </c>
      <c r="J180" s="1578"/>
      <c r="K180" s="1578">
        <v>0</v>
      </c>
      <c r="L180" s="1578"/>
      <c r="M180" s="2037">
        <f t="shared" si="9"/>
        <v>0</v>
      </c>
      <c r="N180" s="1578"/>
      <c r="O180" s="1578">
        <v>0</v>
      </c>
      <c r="P180" s="3539"/>
      <c r="Q180" s="3463"/>
    </row>
    <row r="181" spans="2:17" s="870" customFormat="1" ht="15.75">
      <c r="B181" s="1086">
        <v>23702</v>
      </c>
      <c r="C181" s="1093"/>
      <c r="D181" s="1097" t="s">
        <v>1039</v>
      </c>
      <c r="E181" s="1095"/>
      <c r="F181" s="1095"/>
      <c r="G181" s="1578">
        <v>7492912.9000000004</v>
      </c>
      <c r="H181" s="1578"/>
      <c r="I181" s="1578">
        <v>8052283.8300000001</v>
      </c>
      <c r="J181" s="1578"/>
      <c r="K181" s="1578">
        <v>8463521.1199999992</v>
      </c>
      <c r="L181" s="1578"/>
      <c r="M181" s="2037">
        <f t="shared" si="9"/>
        <v>246579.18</v>
      </c>
      <c r="N181" s="1578"/>
      <c r="O181" s="1578">
        <v>8710100.3000000007</v>
      </c>
      <c r="P181" s="3539"/>
      <c r="Q181" s="3463"/>
    </row>
    <row r="182" spans="2:17" s="870" customFormat="1" ht="15.75">
      <c r="B182" s="1086">
        <v>23800</v>
      </c>
      <c r="C182" s="1093"/>
      <c r="D182" s="1097" t="s">
        <v>1417</v>
      </c>
      <c r="E182" s="1095"/>
      <c r="F182" s="1095"/>
      <c r="G182" s="1578">
        <v>0</v>
      </c>
      <c r="H182" s="1578"/>
      <c r="I182" s="1578">
        <v>0</v>
      </c>
      <c r="J182" s="1578"/>
      <c r="K182" s="1578">
        <v>0</v>
      </c>
      <c r="L182" s="1578"/>
      <c r="M182" s="2037">
        <f t="shared" ref="M182:M183" si="10">ROUND(SUM(O182)-SUM(K182),2)</f>
        <v>0</v>
      </c>
      <c r="N182" s="1578"/>
      <c r="O182" s="1578">
        <v>0</v>
      </c>
      <c r="P182" s="1103"/>
      <c r="Q182" s="3463"/>
    </row>
    <row r="183" spans="2:17" s="870" customFormat="1" ht="15.75">
      <c r="B183" s="1086">
        <v>23801</v>
      </c>
      <c r="C183" s="1093"/>
      <c r="D183" s="1097" t="s">
        <v>1418</v>
      </c>
      <c r="E183" s="1095"/>
      <c r="F183" s="1095"/>
      <c r="G183" s="1578">
        <v>0</v>
      </c>
      <c r="H183" s="1578"/>
      <c r="I183" s="1578">
        <v>0</v>
      </c>
      <c r="J183" s="1578"/>
      <c r="K183" s="1578">
        <v>0</v>
      </c>
      <c r="L183" s="1578"/>
      <c r="M183" s="2037">
        <f t="shared" si="10"/>
        <v>0</v>
      </c>
      <c r="N183" s="1578"/>
      <c r="O183" s="1578">
        <v>0</v>
      </c>
      <c r="P183" s="1103"/>
      <c r="Q183" s="3463"/>
    </row>
    <row r="184" spans="2:17" s="870" customFormat="1" ht="15.75">
      <c r="B184" s="1086">
        <v>23806</v>
      </c>
      <c r="C184" s="1093"/>
      <c r="D184" s="1097" t="s">
        <v>1478</v>
      </c>
      <c r="E184" s="1095"/>
      <c r="F184" s="1095"/>
      <c r="G184" s="1578">
        <v>0</v>
      </c>
      <c r="H184" s="1578"/>
      <c r="I184" s="1578">
        <v>0</v>
      </c>
      <c r="J184" s="1578"/>
      <c r="K184" s="1578">
        <v>0</v>
      </c>
      <c r="L184" s="1578"/>
      <c r="M184" s="2037">
        <f t="shared" ref="M184:M185" si="11">ROUND(SUM(O184)-SUM(K184),2)</f>
        <v>0</v>
      </c>
      <c r="N184" s="1578"/>
      <c r="O184" s="1578">
        <v>0</v>
      </c>
      <c r="P184" s="1103"/>
      <c r="Q184" s="3463"/>
    </row>
    <row r="185" spans="2:17" s="870" customFormat="1" ht="15.75">
      <c r="B185" s="1086">
        <v>24951</v>
      </c>
      <c r="C185" s="1093"/>
      <c r="D185" s="1097" t="s">
        <v>1479</v>
      </c>
      <c r="E185" s="1095"/>
      <c r="F185" s="1095"/>
      <c r="G185" s="1578">
        <v>0</v>
      </c>
      <c r="H185" s="1578"/>
      <c r="I185" s="1578">
        <v>0</v>
      </c>
      <c r="J185" s="1578"/>
      <c r="K185" s="1578">
        <v>0</v>
      </c>
      <c r="L185" s="1578"/>
      <c r="M185" s="2037">
        <f t="shared" si="11"/>
        <v>0</v>
      </c>
      <c r="N185" s="1578"/>
      <c r="O185" s="1578">
        <v>0</v>
      </c>
      <c r="P185" s="1103"/>
      <c r="Q185" s="3463"/>
    </row>
    <row r="186" spans="2:17" s="870" customFormat="1" ht="16.5" thickBot="1">
      <c r="B186" s="1393"/>
      <c r="C186" s="1166"/>
      <c r="D186" s="2674" t="s">
        <v>793</v>
      </c>
      <c r="E186" s="1163"/>
      <c r="F186" s="1163"/>
      <c r="G186" s="2622">
        <f>ROUND(SUM(G104:G183),2)</f>
        <v>1822524262.4200001</v>
      </c>
      <c r="H186" s="2362"/>
      <c r="I186" s="2622">
        <f>ROUND(SUM(I104:I183),2)</f>
        <v>1585648173.72</v>
      </c>
      <c r="J186" s="2362"/>
      <c r="K186" s="2622">
        <f>ROUND(SUM(K104:K183),2)</f>
        <v>312983433.23000002</v>
      </c>
      <c r="L186"/>
      <c r="M186" s="2622">
        <f>ROUND(SUM(M104:M183),2)</f>
        <v>20197695.010000002</v>
      </c>
      <c r="N186"/>
      <c r="O186" s="2622">
        <f>ROUND(SUM(O104:O183),2)</f>
        <v>333181128.24000001</v>
      </c>
      <c r="P186" s="1103"/>
      <c r="Q186" s="3463"/>
    </row>
    <row r="187" spans="2:17" s="870" customFormat="1" ht="16.5" thickTop="1">
      <c r="B187" s="1404"/>
      <c r="C187" s="1395"/>
      <c r="D187" s="1405"/>
      <c r="E187" s="1093"/>
      <c r="F187" s="1093"/>
      <c r="G187" s="1578"/>
      <c r="H187" s="1391"/>
      <c r="I187" s="2575"/>
      <c r="J187" s="1391"/>
      <c r="K187" s="2575"/>
      <c r="L187" s="1391"/>
      <c r="M187" s="2037"/>
      <c r="N187" s="1348"/>
      <c r="O187" s="2575"/>
      <c r="P187" s="1103"/>
      <c r="Q187" s="3463"/>
    </row>
    <row r="188" spans="2:17" s="870" customFormat="1" ht="15.75">
      <c r="B188" s="1404"/>
      <c r="C188" s="1166"/>
      <c r="D188" s="2674" t="s">
        <v>794</v>
      </c>
      <c r="E188" s="1163"/>
      <c r="F188" s="1163"/>
      <c r="G188" s="1578"/>
      <c r="H188" s="1391"/>
      <c r="I188" s="2575"/>
      <c r="J188" s="1391"/>
      <c r="K188" s="2575"/>
      <c r="L188" s="1391"/>
      <c r="M188" s="2038"/>
      <c r="N188" s="1400"/>
      <c r="O188" s="2575"/>
      <c r="P188" s="1103"/>
      <c r="Q188" s="3463"/>
    </row>
    <row r="189" spans="2:17" s="870" customFormat="1" ht="15.75">
      <c r="B189" s="1406" t="s">
        <v>795</v>
      </c>
      <c r="C189" s="1407"/>
      <c r="D189" s="1094" t="s">
        <v>796</v>
      </c>
      <c r="E189" s="1408"/>
      <c r="F189" s="1408"/>
      <c r="G189" s="3566">
        <v>9287635.4100000001</v>
      </c>
      <c r="H189" s="1578"/>
      <c r="I189" s="3566">
        <v>5094389.53</v>
      </c>
      <c r="J189" s="1578"/>
      <c r="K189" s="3566">
        <v>3161056.55</v>
      </c>
      <c r="L189" s="1578"/>
      <c r="M189" s="2037">
        <f>ROUND(SUM(O189)-SUM(K189),2)</f>
        <v>282623.34999999998</v>
      </c>
      <c r="N189" s="1578"/>
      <c r="O189" s="3566">
        <v>3443679.9</v>
      </c>
      <c r="P189" s="1103"/>
      <c r="Q189" s="3463"/>
    </row>
    <row r="190" spans="2:17" s="870" customFormat="1" ht="15.75">
      <c r="B190" s="1406" t="s">
        <v>797</v>
      </c>
      <c r="C190" s="1407"/>
      <c r="D190" s="1094" t="s">
        <v>798</v>
      </c>
      <c r="E190" s="1408"/>
      <c r="F190" s="1408"/>
      <c r="G190" s="3566">
        <v>592730996.26000023</v>
      </c>
      <c r="H190" s="1578"/>
      <c r="I190" s="3566">
        <v>2141947304.2999997</v>
      </c>
      <c r="J190" s="1578"/>
      <c r="K190" s="3566">
        <v>176508497.97999996</v>
      </c>
      <c r="L190" s="1578"/>
      <c r="M190" s="2037">
        <f>ROUND(SUM(O190)-SUM(K190),2)</f>
        <v>-8122.32</v>
      </c>
      <c r="N190" s="1578"/>
      <c r="O190" s="3566">
        <v>176500375.66000003</v>
      </c>
      <c r="P190" s="1103"/>
      <c r="Q190" s="3463"/>
    </row>
    <row r="191" spans="2:17" s="870" customFormat="1" ht="15.75">
      <c r="B191" s="1406" t="s">
        <v>799</v>
      </c>
      <c r="C191" s="1407"/>
      <c r="D191" s="1097" t="s">
        <v>800</v>
      </c>
      <c r="E191" s="1408"/>
      <c r="F191" s="1408"/>
      <c r="G191" s="3566">
        <v>9802212.7299999986</v>
      </c>
      <c r="H191" s="1578"/>
      <c r="I191" s="3566">
        <v>17694229.760000002</v>
      </c>
      <c r="J191" s="1578"/>
      <c r="K191" s="3566">
        <v>3523192</v>
      </c>
      <c r="L191" s="1578"/>
      <c r="M191" s="2037">
        <f>ROUND(SUM(O191)-SUM(K191),2)</f>
        <v>15773390.18</v>
      </c>
      <c r="N191" s="1578"/>
      <c r="O191" s="3566">
        <v>19296582.180000003</v>
      </c>
      <c r="P191" s="1103"/>
      <c r="Q191" s="3463"/>
    </row>
    <row r="192" spans="2:17" s="870" customFormat="1" ht="15.75">
      <c r="B192" s="1406" t="s">
        <v>1419</v>
      </c>
      <c r="C192" s="1407"/>
      <c r="D192" s="1097" t="s">
        <v>1420</v>
      </c>
      <c r="E192" s="1408"/>
      <c r="F192" s="1408"/>
      <c r="G192" s="3566">
        <v>0</v>
      </c>
      <c r="H192" s="1578"/>
      <c r="I192" s="3566">
        <v>0</v>
      </c>
      <c r="J192" s="1578"/>
      <c r="K192" s="3566">
        <v>0</v>
      </c>
      <c r="L192" s="1578"/>
      <c r="M192" s="2037">
        <f>ROUND(SUM(O192)-SUM(K192),2)</f>
        <v>0</v>
      </c>
      <c r="N192" s="1578"/>
      <c r="O192" s="3566">
        <v>0</v>
      </c>
      <c r="P192" s="1103"/>
      <c r="Q192" s="3463"/>
    </row>
    <row r="193" spans="2:17" s="870" customFormat="1" ht="15.75">
      <c r="B193" s="1406" t="s">
        <v>801</v>
      </c>
      <c r="C193" s="1097"/>
      <c r="D193" s="1094" t="s">
        <v>802</v>
      </c>
      <c r="E193" s="1408"/>
      <c r="F193" s="1408"/>
      <c r="G193" s="3566">
        <v>531973113.69999999</v>
      </c>
      <c r="H193" s="1578"/>
      <c r="I193" s="3566">
        <v>383562279.83000004</v>
      </c>
      <c r="J193" s="1578"/>
      <c r="K193" s="3566">
        <v>382982360.0200001</v>
      </c>
      <c r="L193" s="1578"/>
      <c r="M193" s="2037">
        <f>ROUND(SUM(O193)-SUM(K193),2)</f>
        <v>11158236.619999999</v>
      </c>
      <c r="N193" s="1578"/>
      <c r="O193" s="3566">
        <v>394140596.6400001</v>
      </c>
      <c r="P193" s="1103"/>
      <c r="Q193" s="3463"/>
    </row>
    <row r="194" spans="2:17" s="870" customFormat="1" ht="15.75">
      <c r="B194" s="2357">
        <v>31351</v>
      </c>
      <c r="C194" s="1097"/>
      <c r="D194" s="1100" t="s">
        <v>803</v>
      </c>
      <c r="E194" s="1408"/>
      <c r="F194" s="1408"/>
      <c r="G194" s="1578">
        <v>8670344.6600000001</v>
      </c>
      <c r="H194" s="1578"/>
      <c r="I194" s="1578">
        <v>8530755.75</v>
      </c>
      <c r="J194" s="1578"/>
      <c r="K194" s="1578">
        <v>8638416.75</v>
      </c>
      <c r="L194" s="1578"/>
      <c r="M194" s="2037">
        <f t="shared" ref="M194:M199" si="12">ROUND(SUM(O194)-SUM(K194),2)</f>
        <v>217203.6</v>
      </c>
      <c r="N194" s="1578"/>
      <c r="O194" s="1578">
        <v>8855620.3499999996</v>
      </c>
      <c r="P194" s="1174"/>
      <c r="Q194" s="3463"/>
    </row>
    <row r="195" spans="2:17" s="870" customFormat="1" ht="15.75">
      <c r="B195" s="2224">
        <v>31354</v>
      </c>
      <c r="C195" s="1409"/>
      <c r="D195" s="1087" t="s">
        <v>804</v>
      </c>
      <c r="E195" s="1408"/>
      <c r="F195" s="1408"/>
      <c r="G195" s="1578">
        <v>341313579.33999997</v>
      </c>
      <c r="H195" s="1578"/>
      <c r="I195" s="1578">
        <v>361306416.81</v>
      </c>
      <c r="J195" s="1578"/>
      <c r="K195" s="1578">
        <v>508905837.22000003</v>
      </c>
      <c r="L195" s="1578"/>
      <c r="M195" s="2037">
        <f t="shared" si="12"/>
        <v>42582241.829999998</v>
      </c>
      <c r="N195" s="1578"/>
      <c r="O195" s="1578">
        <v>551488079.04999995</v>
      </c>
      <c r="P195" s="1562"/>
      <c r="Q195" s="3463"/>
    </row>
    <row r="196" spans="2:17" s="870" customFormat="1" ht="15.75">
      <c r="B196" s="1176" t="s">
        <v>805</v>
      </c>
      <c r="C196" s="1093"/>
      <c r="D196" s="1100" t="s">
        <v>806</v>
      </c>
      <c r="E196" s="1408"/>
      <c r="F196" s="1408"/>
      <c r="G196" s="1578">
        <v>78053300.650000066</v>
      </c>
      <c r="H196" s="1578"/>
      <c r="I196" s="1578">
        <v>79701848.019999981</v>
      </c>
      <c r="J196" s="1578"/>
      <c r="K196" s="1578">
        <v>98207625.75999999</v>
      </c>
      <c r="L196" s="1578"/>
      <c r="M196" s="2037">
        <f t="shared" si="12"/>
        <v>5523437.8099999996</v>
      </c>
      <c r="N196" s="1578"/>
      <c r="O196" s="1578">
        <v>103731063.56999996</v>
      </c>
      <c r="P196" s="1165"/>
      <c r="Q196" s="3463"/>
    </row>
    <row r="197" spans="2:17" s="870" customFormat="1" ht="15.75">
      <c r="B197" s="1410" t="s">
        <v>1040</v>
      </c>
      <c r="C197" s="1090"/>
      <c r="D197" s="1100" t="s">
        <v>1041</v>
      </c>
      <c r="E197" s="1088"/>
      <c r="F197" s="1088"/>
      <c r="G197" s="1578">
        <v>6279576.9100000001</v>
      </c>
      <c r="H197" s="1578"/>
      <c r="I197" s="1578">
        <v>7812114.75</v>
      </c>
      <c r="J197" s="1578"/>
      <c r="K197" s="1578">
        <v>6134801.5800000001</v>
      </c>
      <c r="L197" s="1578"/>
      <c r="M197" s="2037">
        <f t="shared" si="12"/>
        <v>20866329.030000001</v>
      </c>
      <c r="N197" s="1578"/>
      <c r="O197" s="1578">
        <v>27001130.609999999</v>
      </c>
      <c r="P197" s="1175"/>
      <c r="Q197" s="3463"/>
    </row>
    <row r="198" spans="2:17" s="870" customFormat="1" ht="15.75">
      <c r="B198" s="2358">
        <v>25950</v>
      </c>
      <c r="C198" s="1090"/>
      <c r="D198" s="1100" t="s">
        <v>807</v>
      </c>
      <c r="E198" s="1101"/>
      <c r="F198" s="1101"/>
      <c r="G198" s="1578">
        <v>408949.85</v>
      </c>
      <c r="H198" s="1578"/>
      <c r="I198" s="1578">
        <v>366885.12</v>
      </c>
      <c r="J198" s="1578"/>
      <c r="K198" s="1578">
        <v>424350.62</v>
      </c>
      <c r="L198" s="1578"/>
      <c r="M198" s="2037">
        <f t="shared" si="12"/>
        <v>-6543</v>
      </c>
      <c r="N198" s="1578"/>
      <c r="O198" s="1578">
        <v>417807.62</v>
      </c>
      <c r="P198" s="1175"/>
      <c r="Q198" s="3463"/>
    </row>
    <row r="199" spans="2:17" s="870" customFormat="1" ht="15.75">
      <c r="B199" s="1410" t="s">
        <v>1382</v>
      </c>
      <c r="C199" s="1090"/>
      <c r="D199" s="1098" t="s">
        <v>1042</v>
      </c>
      <c r="E199" s="1088"/>
      <c r="F199" s="1088"/>
      <c r="G199" s="1578">
        <v>342419.59</v>
      </c>
      <c r="H199" s="1578"/>
      <c r="I199" s="1578">
        <v>4763830.17</v>
      </c>
      <c r="J199" s="1578"/>
      <c r="K199" s="1578">
        <v>1270000.76</v>
      </c>
      <c r="L199" s="1578"/>
      <c r="M199" s="2037">
        <f t="shared" si="12"/>
        <v>1543092.56</v>
      </c>
      <c r="N199" s="1578"/>
      <c r="O199" s="1578">
        <v>2813093.32</v>
      </c>
      <c r="P199" s="1175"/>
      <c r="Q199" s="3463"/>
    </row>
    <row r="200" spans="2:17" s="870" customFormat="1" ht="16.5" thickBot="1">
      <c r="B200" s="1177"/>
      <c r="C200" s="1170"/>
      <c r="D200" s="2674" t="s">
        <v>808</v>
      </c>
      <c r="E200" s="1091"/>
      <c r="F200" s="1091"/>
      <c r="G200" s="2622">
        <f>ROUND(SUM(G189:G199),2)</f>
        <v>1578862129.0999999</v>
      </c>
      <c r="H200" s="1437"/>
      <c r="I200" s="2622">
        <f>ROUND(SUM(I189:I199),2)</f>
        <v>3010780054.04</v>
      </c>
      <c r="J200" s="1437"/>
      <c r="K200" s="2622">
        <f>ROUND(SUM(K189:K199),2)</f>
        <v>1189756139.24</v>
      </c>
      <c r="L200"/>
      <c r="M200" s="2039">
        <f>ROUND(SUM(M189:M199),2)</f>
        <v>97931889.659999996</v>
      </c>
      <c r="N200"/>
      <c r="O200" s="2622">
        <f>ROUND(SUM(O189:O199),2)</f>
        <v>1287688028.9000001</v>
      </c>
      <c r="P200" s="1562" t="s">
        <v>115</v>
      </c>
      <c r="Q200" s="3463"/>
    </row>
    <row r="201" spans="2:17" s="870" customFormat="1" ht="16.5" thickTop="1">
      <c r="B201" s="1393"/>
      <c r="C201" s="1170"/>
      <c r="D201" s="1102"/>
      <c r="E201" s="1091"/>
      <c r="F201" s="1091"/>
      <c r="G201" s="2677"/>
      <c r="H201" s="1411"/>
      <c r="I201" s="2630"/>
      <c r="J201" s="1411"/>
      <c r="K201" s="2630"/>
      <c r="L201" s="1411"/>
      <c r="M201" s="2038"/>
      <c r="N201" s="1400"/>
      <c r="O201" s="2630"/>
      <c r="P201" s="1176"/>
      <c r="Q201" s="3463"/>
    </row>
    <row r="202" spans="2:17" s="870" customFormat="1" ht="15.75">
      <c r="B202" s="1404"/>
      <c r="C202" s="1170"/>
      <c r="D202" s="2673" t="s">
        <v>809</v>
      </c>
      <c r="E202" s="1091"/>
      <c r="F202" s="1091"/>
      <c r="G202" s="1578"/>
      <c r="H202" s="1391"/>
      <c r="I202" s="2575"/>
      <c r="J202" s="1391"/>
      <c r="K202" s="2575"/>
      <c r="L202" s="1391"/>
      <c r="M202" s="2038"/>
      <c r="N202" s="1400"/>
      <c r="O202" s="2575"/>
      <c r="P202" s="1112"/>
      <c r="Q202" s="3463"/>
    </row>
    <row r="203" spans="2:17" s="870" customFormat="1" ht="15.75">
      <c r="B203" s="2359">
        <v>60201</v>
      </c>
      <c r="C203" s="1166"/>
      <c r="D203" s="1094" t="s">
        <v>810</v>
      </c>
      <c r="E203" s="1091"/>
      <c r="F203" s="1091"/>
      <c r="G203" s="1578">
        <v>0</v>
      </c>
      <c r="H203" s="1578"/>
      <c r="I203" s="1578">
        <v>0</v>
      </c>
      <c r="J203" s="1578"/>
      <c r="K203" s="1578">
        <v>0</v>
      </c>
      <c r="L203" s="1578"/>
      <c r="M203" s="2037">
        <f>ROUND(SUM(O203)-SUM(K203),2)</f>
        <v>0</v>
      </c>
      <c r="N203" s="1578"/>
      <c r="O203" s="1578">
        <v>0</v>
      </c>
      <c r="P203" s="1112"/>
      <c r="Q203" s="3463"/>
    </row>
    <row r="204" spans="2:17" s="870" customFormat="1" ht="15.75">
      <c r="B204" s="2357">
        <v>60901</v>
      </c>
      <c r="C204" s="1093"/>
      <c r="D204" s="1097" t="s">
        <v>1066</v>
      </c>
      <c r="E204" s="1095"/>
      <c r="F204" s="1095"/>
      <c r="G204" s="1578">
        <v>0</v>
      </c>
      <c r="H204" s="1578"/>
      <c r="I204" s="1578">
        <v>0</v>
      </c>
      <c r="J204" s="1578"/>
      <c r="K204" s="1578">
        <v>0</v>
      </c>
      <c r="L204" s="1578"/>
      <c r="M204" s="2037">
        <f>ROUND(SUM(O204)-SUM(K204),2)</f>
        <v>0</v>
      </c>
      <c r="N204" s="1578"/>
      <c r="O204" s="1578">
        <v>0</v>
      </c>
      <c r="P204" s="1112"/>
      <c r="Q204" s="3463"/>
    </row>
    <row r="205" spans="2:17" s="870" customFormat="1" ht="16.5" thickBot="1">
      <c r="B205" s="1086"/>
      <c r="C205" s="1166"/>
      <c r="D205" s="2673" t="s">
        <v>811</v>
      </c>
      <c r="E205" s="1091"/>
      <c r="F205" s="1091"/>
      <c r="G205" s="2622">
        <f>ROUND(SUM(G203:G204),2)</f>
        <v>0</v>
      </c>
      <c r="H205" s="1437"/>
      <c r="I205" s="2627">
        <f>ROUND(SUM(I203:I204),2)</f>
        <v>0</v>
      </c>
      <c r="J205" s="1437"/>
      <c r="K205" s="2627">
        <f>ROUND(SUM(K203:K204),2)</f>
        <v>0</v>
      </c>
      <c r="L205" s="1437"/>
      <c r="M205" s="2039">
        <f>ROUND(SUM(M203:M204),2)</f>
        <v>0</v>
      </c>
      <c r="N205" s="1437"/>
      <c r="O205" s="2627">
        <f>ROUND(SUM(O203:O204),2)</f>
        <v>0</v>
      </c>
      <c r="P205" s="1103"/>
      <c r="Q205" s="3463"/>
    </row>
    <row r="206" spans="2:17" s="870" customFormat="1" ht="16.5" thickTop="1">
      <c r="B206" s="1086"/>
      <c r="C206" s="1178"/>
      <c r="D206" s="1178"/>
      <c r="E206" s="1179"/>
      <c r="F206" s="1179"/>
      <c r="G206" s="1578"/>
      <c r="H206" s="1391"/>
      <c r="I206" s="2575"/>
      <c r="J206" s="1391"/>
      <c r="K206" s="2575"/>
      <c r="L206" s="1391"/>
      <c r="M206" s="2037"/>
      <c r="N206" s="1348"/>
      <c r="O206" s="2575"/>
      <c r="P206" s="1089"/>
      <c r="Q206" s="3463"/>
    </row>
    <row r="207" spans="2:17" s="870" customFormat="1" ht="15.75">
      <c r="B207" s="1086"/>
      <c r="C207" s="1394"/>
      <c r="D207" s="2673" t="s">
        <v>812</v>
      </c>
      <c r="E207" s="1399"/>
      <c r="F207" s="1399"/>
      <c r="G207" s="1578"/>
      <c r="H207" s="1391"/>
      <c r="I207" s="2575"/>
      <c r="J207" s="1391"/>
      <c r="K207" s="2575"/>
      <c r="L207" s="1391"/>
      <c r="M207" s="2040"/>
      <c r="N207" s="1171"/>
      <c r="O207" s="2575"/>
      <c r="P207" s="1176"/>
      <c r="Q207" s="3463"/>
    </row>
    <row r="208" spans="2:17" s="870" customFormat="1" ht="15.75">
      <c r="B208" s="2357">
        <v>50318</v>
      </c>
      <c r="C208" s="1395"/>
      <c r="D208" s="1098" t="s">
        <v>813</v>
      </c>
      <c r="E208" s="1168"/>
      <c r="F208" s="1168"/>
      <c r="G208" s="1578">
        <v>41320.78</v>
      </c>
      <c r="H208" s="1578"/>
      <c r="I208" s="1578">
        <v>31621.279999999999</v>
      </c>
      <c r="J208" s="1578"/>
      <c r="K208" s="1578">
        <v>0</v>
      </c>
      <c r="L208" s="1578"/>
      <c r="M208" s="2037">
        <f>ROUND(SUM(O208)-SUM(K208),2)</f>
        <v>0</v>
      </c>
      <c r="N208" s="1578"/>
      <c r="O208" s="1578">
        <v>0</v>
      </c>
      <c r="P208" s="1112"/>
      <c r="Q208" s="3463"/>
    </row>
    <row r="209" spans="2:17" s="870" customFormat="1" ht="15.75">
      <c r="B209" s="2357">
        <v>50327</v>
      </c>
      <c r="C209" s="1395"/>
      <c r="D209" s="1098" t="s">
        <v>1399</v>
      </c>
      <c r="E209" s="1168"/>
      <c r="F209" s="1168"/>
      <c r="G209" s="1578">
        <v>132863.73000000001</v>
      </c>
      <c r="H209" s="1578"/>
      <c r="I209" s="1578">
        <v>101846.81</v>
      </c>
      <c r="J209" s="1578"/>
      <c r="K209" s="1578">
        <v>88944.37</v>
      </c>
      <c r="L209" s="1578"/>
      <c r="M209" s="2037">
        <f>ROUND(SUM(O209)-SUM(K209),2)</f>
        <v>14480.21</v>
      </c>
      <c r="N209" s="1578"/>
      <c r="O209" s="1578">
        <v>103424.58</v>
      </c>
      <c r="P209" s="1112"/>
      <c r="Q209" s="3463"/>
    </row>
    <row r="210" spans="2:17" s="870" customFormat="1" ht="16.5" thickBot="1">
      <c r="B210" s="1096"/>
      <c r="C210" s="1166"/>
      <c r="D210" s="2674" t="s">
        <v>814</v>
      </c>
      <c r="E210" s="1163"/>
      <c r="F210" s="1163"/>
      <c r="G210" s="2622">
        <f>ROUND(SUM(G208:G209),2)</f>
        <v>174184.51</v>
      </c>
      <c r="H210" s="1437"/>
      <c r="I210" s="2623">
        <f>ROUND(SUM(I208:I209),2)</f>
        <v>133468.09</v>
      </c>
      <c r="J210" s="1437"/>
      <c r="K210" s="2623">
        <f>ROUND(SUM(K208:K209),2)</f>
        <v>88944.37</v>
      </c>
      <c r="L210" s="1437"/>
      <c r="M210" s="2387">
        <f>ROUND(SUM(M208:M209),2)</f>
        <v>14480.21</v>
      </c>
      <c r="N210" s="1437"/>
      <c r="O210" s="2623">
        <f>ROUND(SUM(O208:O209),2)</f>
        <v>103424.58</v>
      </c>
      <c r="P210" s="1174"/>
      <c r="Q210" s="3463"/>
    </row>
    <row r="211" spans="2:17" s="870" customFormat="1" ht="16.5" thickTop="1">
      <c r="B211" s="1395"/>
      <c r="C211" s="1395"/>
      <c r="D211" s="1412"/>
      <c r="E211" s="1168"/>
      <c r="F211" s="1168"/>
      <c r="G211" s="1401"/>
      <c r="H211" s="1401"/>
      <c r="I211" s="2631"/>
      <c r="J211" s="1401"/>
      <c r="K211" s="2631"/>
      <c r="L211" s="1401"/>
      <c r="M211" s="2388"/>
      <c r="N211" s="1413"/>
      <c r="O211" s="2631"/>
      <c r="P211" s="1177"/>
      <c r="Q211" s="3463"/>
    </row>
    <row r="212" spans="2:17" s="870" customFormat="1" ht="15.75">
      <c r="B212" s="1244"/>
      <c r="C212" s="1166"/>
      <c r="D212" s="2673" t="s">
        <v>224</v>
      </c>
      <c r="E212" s="1163"/>
      <c r="F212" s="1163"/>
      <c r="G212" s="1391"/>
      <c r="H212" s="1391"/>
      <c r="I212" s="2629"/>
      <c r="J212" s="1391"/>
      <c r="K212" s="2629"/>
      <c r="L212" s="1391"/>
      <c r="M212" s="2386"/>
      <c r="N212" s="1400"/>
      <c r="O212" s="2629"/>
      <c r="P212" s="1168"/>
      <c r="Q212" s="3463"/>
    </row>
    <row r="213" spans="2:17" s="870" customFormat="1" ht="15.75">
      <c r="B213" s="2357">
        <v>55001</v>
      </c>
      <c r="C213" s="1395"/>
      <c r="D213" s="1098" t="s">
        <v>815</v>
      </c>
      <c r="E213" s="1168"/>
      <c r="F213" s="1168"/>
      <c r="G213" s="1578">
        <v>139250.94</v>
      </c>
      <c r="H213" s="1578"/>
      <c r="I213" s="1578">
        <v>0</v>
      </c>
      <c r="J213" s="1578"/>
      <c r="K213" s="1578">
        <v>0</v>
      </c>
      <c r="L213" s="1578"/>
      <c r="M213" s="2037">
        <f t="shared" ref="M213:M255" si="13">ROUND(SUM(O213)-SUM(K213),2)</f>
        <v>0</v>
      </c>
      <c r="N213" s="1578"/>
      <c r="O213" s="1578">
        <v>0</v>
      </c>
      <c r="P213" s="1173"/>
      <c r="Q213" s="3463"/>
    </row>
    <row r="214" spans="2:17" s="870" customFormat="1" ht="15.75">
      <c r="B214" s="2357">
        <v>55002</v>
      </c>
      <c r="C214" s="1093"/>
      <c r="D214" s="1097" t="s">
        <v>816</v>
      </c>
      <c r="E214" s="1095"/>
      <c r="F214" s="1095"/>
      <c r="G214" s="1578">
        <v>0</v>
      </c>
      <c r="H214" s="1578"/>
      <c r="I214" s="1578">
        <v>0</v>
      </c>
      <c r="J214" s="1578"/>
      <c r="K214" s="1578">
        <v>0</v>
      </c>
      <c r="L214" s="1578"/>
      <c r="M214" s="2037">
        <f t="shared" si="13"/>
        <v>0</v>
      </c>
      <c r="N214" s="1578"/>
      <c r="O214" s="1578">
        <v>0</v>
      </c>
      <c r="P214" s="1103"/>
      <c r="Q214" s="3463"/>
    </row>
    <row r="215" spans="2:17" s="870" customFormat="1" ht="15.75">
      <c r="B215" s="2357">
        <v>55003</v>
      </c>
      <c r="C215" s="1093"/>
      <c r="D215" s="1098" t="s">
        <v>817</v>
      </c>
      <c r="E215" s="1095"/>
      <c r="F215" s="1095"/>
      <c r="G215" s="1578">
        <v>1514402.12</v>
      </c>
      <c r="H215" s="1578"/>
      <c r="I215" s="1578">
        <v>2394511.1</v>
      </c>
      <c r="J215" s="1578"/>
      <c r="K215" s="1578">
        <v>2473603.5499999998</v>
      </c>
      <c r="L215" s="1578"/>
      <c r="M215" s="2037">
        <f t="shared" si="13"/>
        <v>-10815.7</v>
      </c>
      <c r="N215" s="1578"/>
      <c r="O215" s="1578">
        <v>2462787.85</v>
      </c>
      <c r="P215" s="1103"/>
      <c r="Q215" s="3463"/>
    </row>
    <row r="216" spans="2:17" s="870" customFormat="1" ht="15.75">
      <c r="B216" s="2357">
        <v>55004</v>
      </c>
      <c r="C216" s="1090"/>
      <c r="D216" s="1414" t="s">
        <v>818</v>
      </c>
      <c r="E216" s="1102"/>
      <c r="F216" s="1102"/>
      <c r="G216" s="1578">
        <v>0</v>
      </c>
      <c r="H216" s="1578"/>
      <c r="I216" s="1578">
        <v>0</v>
      </c>
      <c r="J216" s="1578"/>
      <c r="K216" s="1578">
        <v>0</v>
      </c>
      <c r="L216" s="1578"/>
      <c r="M216" s="2037">
        <f t="shared" si="13"/>
        <v>0</v>
      </c>
      <c r="N216" s="1578"/>
      <c r="O216" s="1578">
        <v>0</v>
      </c>
      <c r="P216" s="1103"/>
      <c r="Q216" s="3463"/>
    </row>
    <row r="217" spans="2:17" s="870" customFormat="1" ht="15.75">
      <c r="B217" s="2357">
        <v>55005</v>
      </c>
      <c r="C217" s="1093"/>
      <c r="D217" s="1098" t="s">
        <v>819</v>
      </c>
      <c r="E217" s="1095"/>
      <c r="F217" s="1095"/>
      <c r="G217" s="1578">
        <v>0</v>
      </c>
      <c r="H217" s="1578"/>
      <c r="I217" s="1578">
        <v>0</v>
      </c>
      <c r="J217" s="1578"/>
      <c r="K217" s="1578">
        <v>0</v>
      </c>
      <c r="L217" s="1578"/>
      <c r="M217" s="2037">
        <f t="shared" si="13"/>
        <v>0</v>
      </c>
      <c r="N217" s="1578"/>
      <c r="O217" s="1578">
        <v>0</v>
      </c>
      <c r="P217" s="1103"/>
      <c r="Q217" s="3463"/>
    </row>
    <row r="218" spans="2:17" s="870" customFormat="1" ht="15.75">
      <c r="B218" s="2357">
        <v>55006</v>
      </c>
      <c r="C218" s="1090"/>
      <c r="D218" s="1098" t="s">
        <v>820</v>
      </c>
      <c r="E218" s="1102"/>
      <c r="F218" s="1102"/>
      <c r="G218" s="1578">
        <v>0</v>
      </c>
      <c r="H218" s="1578"/>
      <c r="I218" s="1578">
        <v>0</v>
      </c>
      <c r="J218" s="1578"/>
      <c r="K218" s="1578">
        <v>0</v>
      </c>
      <c r="L218" s="1578"/>
      <c r="M218" s="2037">
        <f t="shared" si="13"/>
        <v>0</v>
      </c>
      <c r="N218" s="1578"/>
      <c r="O218" s="1578">
        <v>0</v>
      </c>
      <c r="P218" s="1103"/>
      <c r="Q218" s="3463"/>
    </row>
    <row r="219" spans="2:17" s="870" customFormat="1" ht="15.75">
      <c r="B219" s="2357">
        <v>55007</v>
      </c>
      <c r="C219" s="1402"/>
      <c r="D219" s="1087" t="s">
        <v>821</v>
      </c>
      <c r="E219" s="1392"/>
      <c r="F219" s="1392"/>
      <c r="G219" s="1578">
        <v>990900.78</v>
      </c>
      <c r="H219" s="1578"/>
      <c r="I219" s="1578">
        <v>390509.3</v>
      </c>
      <c r="J219" s="1578"/>
      <c r="K219" s="1578">
        <v>1366991.27</v>
      </c>
      <c r="L219" s="1578"/>
      <c r="M219" s="2037">
        <f t="shared" si="13"/>
        <v>106718.55</v>
      </c>
      <c r="N219" s="1578"/>
      <c r="O219" s="1578">
        <v>1473709.82</v>
      </c>
      <c r="P219" s="1173"/>
      <c r="Q219" s="3463"/>
    </row>
    <row r="220" spans="2:17" s="870" customFormat="1" ht="15.75">
      <c r="B220" s="2357">
        <v>55008</v>
      </c>
      <c r="C220" s="1093"/>
      <c r="D220" s="1100" t="s">
        <v>822</v>
      </c>
      <c r="E220" s="1095"/>
      <c r="F220" s="1095"/>
      <c r="G220" s="1578">
        <v>16596079.470000001</v>
      </c>
      <c r="H220" s="1578"/>
      <c r="I220" s="1578">
        <v>19508360.010000002</v>
      </c>
      <c r="J220" s="1578"/>
      <c r="K220" s="1578">
        <v>16380497.380000001</v>
      </c>
      <c r="L220" s="1578"/>
      <c r="M220" s="2037">
        <f t="shared" si="13"/>
        <v>2982815.47</v>
      </c>
      <c r="N220" s="1578"/>
      <c r="O220" s="1578">
        <v>19363312.850000001</v>
      </c>
      <c r="P220" s="1174"/>
      <c r="Q220" s="3463"/>
    </row>
    <row r="221" spans="2:17" s="870" customFormat="1" ht="15.75">
      <c r="B221" s="2224">
        <v>55009</v>
      </c>
      <c r="C221" s="1402"/>
      <c r="D221" s="1087" t="s">
        <v>823</v>
      </c>
      <c r="E221" s="1392"/>
      <c r="F221" s="1392"/>
      <c r="G221" s="1578">
        <v>0</v>
      </c>
      <c r="H221" s="1578"/>
      <c r="I221" s="1578">
        <v>0</v>
      </c>
      <c r="J221" s="1578"/>
      <c r="K221" s="1578">
        <v>0</v>
      </c>
      <c r="L221" s="1578"/>
      <c r="M221" s="2037">
        <f t="shared" si="13"/>
        <v>0</v>
      </c>
      <c r="N221" s="1578"/>
      <c r="O221" s="1578">
        <v>0</v>
      </c>
      <c r="P221" s="1168"/>
      <c r="Q221" s="3463"/>
    </row>
    <row r="222" spans="2:17" s="870" customFormat="1" ht="15.75">
      <c r="B222" s="2224">
        <v>55010</v>
      </c>
      <c r="C222" s="1093"/>
      <c r="D222" s="1098" t="s">
        <v>1067</v>
      </c>
      <c r="E222" s="1095"/>
      <c r="F222" s="1095"/>
      <c r="G222" s="1578">
        <v>5113851.16</v>
      </c>
      <c r="H222" s="1578"/>
      <c r="I222" s="1578">
        <v>6259437.5999999996</v>
      </c>
      <c r="J222" s="1578"/>
      <c r="K222" s="1578">
        <v>4432180.01</v>
      </c>
      <c r="L222" s="1578"/>
      <c r="M222" s="2037">
        <f t="shared" si="13"/>
        <v>-806848.7</v>
      </c>
      <c r="N222" s="1578"/>
      <c r="O222" s="1578">
        <v>3625331.31</v>
      </c>
      <c r="P222" s="1168"/>
      <c r="Q222" s="3463"/>
    </row>
    <row r="223" spans="2:17" s="870" customFormat="1" ht="15.75">
      <c r="B223" s="2357">
        <v>55011</v>
      </c>
      <c r="C223" s="1402"/>
      <c r="D223" s="1087" t="s">
        <v>824</v>
      </c>
      <c r="E223" s="1392"/>
      <c r="F223" s="1392"/>
      <c r="G223" s="1578">
        <v>514149.06</v>
      </c>
      <c r="H223" s="1578"/>
      <c r="I223" s="1578">
        <v>566434.55000000005</v>
      </c>
      <c r="J223" s="1578"/>
      <c r="K223" s="1578">
        <v>1781974.15</v>
      </c>
      <c r="L223" s="1578"/>
      <c r="M223" s="2037">
        <f t="shared" si="13"/>
        <v>148836.84</v>
      </c>
      <c r="N223" s="1578"/>
      <c r="O223" s="1578">
        <v>1930810.99</v>
      </c>
      <c r="P223" s="1103"/>
      <c r="Q223" s="3463"/>
    </row>
    <row r="224" spans="2:17" s="870" customFormat="1" ht="15.75">
      <c r="B224" s="2357">
        <v>55012</v>
      </c>
      <c r="C224" s="1093"/>
      <c r="D224" s="1094" t="s">
        <v>825</v>
      </c>
      <c r="E224" s="1095"/>
      <c r="F224" s="1095"/>
      <c r="G224" s="1578">
        <v>135497.79</v>
      </c>
      <c r="H224" s="1578"/>
      <c r="I224" s="1578">
        <v>165519.79</v>
      </c>
      <c r="J224" s="1578"/>
      <c r="K224" s="1578">
        <v>144434.01999999999</v>
      </c>
      <c r="L224" s="1578"/>
      <c r="M224" s="2037">
        <f t="shared" si="13"/>
        <v>-4042.59</v>
      </c>
      <c r="N224" s="1578"/>
      <c r="O224" s="1578">
        <v>140391.43</v>
      </c>
      <c r="P224" s="1103"/>
      <c r="Q224" s="3463"/>
    </row>
    <row r="225" spans="2:17" s="870" customFormat="1" ht="15.75">
      <c r="B225" s="2357">
        <v>55013</v>
      </c>
      <c r="C225" s="1093"/>
      <c r="D225" s="1097" t="s">
        <v>826</v>
      </c>
      <c r="E225" s="1095"/>
      <c r="F225" s="1095"/>
      <c r="G225" s="1578">
        <v>0</v>
      </c>
      <c r="H225" s="1578"/>
      <c r="I225" s="1578">
        <v>0</v>
      </c>
      <c r="J225" s="1578"/>
      <c r="K225" s="1578">
        <v>0</v>
      </c>
      <c r="L225" s="1578"/>
      <c r="M225" s="2037">
        <f t="shared" si="13"/>
        <v>0</v>
      </c>
      <c r="N225" s="1578"/>
      <c r="O225" s="1578">
        <v>0</v>
      </c>
      <c r="P225" s="1103"/>
      <c r="Q225" s="3463"/>
    </row>
    <row r="226" spans="2:17" s="870" customFormat="1" ht="15.75">
      <c r="B226" s="2357">
        <v>55014</v>
      </c>
      <c r="C226" s="1093"/>
      <c r="D226" s="1094" t="s">
        <v>827</v>
      </c>
      <c r="E226" s="1095"/>
      <c r="F226" s="1095"/>
      <c r="G226" s="1578">
        <v>0</v>
      </c>
      <c r="H226" s="1578"/>
      <c r="I226" s="1578">
        <v>0</v>
      </c>
      <c r="J226" s="1578"/>
      <c r="K226" s="1578">
        <v>0</v>
      </c>
      <c r="L226" s="1578"/>
      <c r="M226" s="2037">
        <f t="shared" si="13"/>
        <v>0</v>
      </c>
      <c r="N226" s="1578"/>
      <c r="O226" s="1578">
        <v>0</v>
      </c>
      <c r="P226" s="1103"/>
      <c r="Q226" s="3463"/>
    </row>
    <row r="227" spans="2:17" s="870" customFormat="1" ht="15.75">
      <c r="B227" s="2357">
        <v>55015</v>
      </c>
      <c r="C227" s="1093"/>
      <c r="D227" s="1097" t="s">
        <v>828</v>
      </c>
      <c r="E227" s="1095"/>
      <c r="F227" s="1095"/>
      <c r="G227" s="1578">
        <v>0</v>
      </c>
      <c r="H227" s="1578"/>
      <c r="I227" s="1578">
        <v>0</v>
      </c>
      <c r="J227" s="1578"/>
      <c r="K227" s="1578">
        <v>0</v>
      </c>
      <c r="L227" s="1578"/>
      <c r="M227" s="2037">
        <f t="shared" si="13"/>
        <v>0</v>
      </c>
      <c r="N227" s="1578"/>
      <c r="O227" s="1578">
        <v>0</v>
      </c>
      <c r="P227" s="1103"/>
      <c r="Q227" s="3463"/>
    </row>
    <row r="228" spans="2:17" s="870" customFormat="1" ht="15.75">
      <c r="B228" s="2357">
        <v>55016</v>
      </c>
      <c r="C228" s="1093"/>
      <c r="D228" s="1097" t="s">
        <v>829</v>
      </c>
      <c r="E228" s="1095"/>
      <c r="F228" s="1095"/>
      <c r="G228" s="1578">
        <v>26961.54</v>
      </c>
      <c r="H228" s="1578"/>
      <c r="I228" s="1578">
        <v>26961.54</v>
      </c>
      <c r="J228" s="1578"/>
      <c r="K228" s="1578">
        <v>26961.54</v>
      </c>
      <c r="L228" s="1578"/>
      <c r="M228" s="2037">
        <f t="shared" si="13"/>
        <v>559.37</v>
      </c>
      <c r="N228" s="1578"/>
      <c r="O228" s="1578">
        <v>27520.91</v>
      </c>
      <c r="P228" s="1103"/>
      <c r="Q228" s="3463"/>
    </row>
    <row r="229" spans="2:17" s="870" customFormat="1" ht="15.75">
      <c r="B229" s="2357">
        <v>55017</v>
      </c>
      <c r="C229" s="1093"/>
      <c r="D229" s="1097" t="s">
        <v>830</v>
      </c>
      <c r="E229" s="1095"/>
      <c r="F229" s="1095"/>
      <c r="G229" s="1578">
        <v>114358.22</v>
      </c>
      <c r="H229" s="1578"/>
      <c r="I229" s="1578">
        <v>322849.67</v>
      </c>
      <c r="J229" s="1578"/>
      <c r="K229" s="1578">
        <v>361930.61</v>
      </c>
      <c r="L229" s="1578"/>
      <c r="M229" s="2037">
        <f t="shared" si="13"/>
        <v>144189.09</v>
      </c>
      <c r="N229" s="1578"/>
      <c r="O229" s="1578">
        <v>506119.7</v>
      </c>
      <c r="P229" s="1103"/>
      <c r="Q229" s="3463"/>
    </row>
    <row r="230" spans="2:17" s="870" customFormat="1" ht="15.75">
      <c r="B230" s="2357">
        <v>55018</v>
      </c>
      <c r="C230" s="1093"/>
      <c r="D230" s="1097" t="s">
        <v>831</v>
      </c>
      <c r="E230" s="1095"/>
      <c r="F230" s="1095"/>
      <c r="G230" s="1578">
        <v>4512690.26</v>
      </c>
      <c r="H230" s="1578"/>
      <c r="I230" s="1578">
        <v>5878193.0300000003</v>
      </c>
      <c r="J230" s="1578"/>
      <c r="K230" s="1578">
        <v>6174497.2999999998</v>
      </c>
      <c r="L230" s="1578"/>
      <c r="M230" s="2037">
        <f t="shared" si="13"/>
        <v>318342.13</v>
      </c>
      <c r="N230" s="1578"/>
      <c r="O230" s="1578">
        <v>6492839.4299999997</v>
      </c>
      <c r="P230" s="1103"/>
      <c r="Q230" s="3463"/>
    </row>
    <row r="231" spans="2:17" s="870" customFormat="1" ht="15.75">
      <c r="B231" s="2357">
        <v>55019</v>
      </c>
      <c r="C231" s="1093"/>
      <c r="D231" s="1097" t="s">
        <v>832</v>
      </c>
      <c r="E231" s="1095"/>
      <c r="F231" s="1095"/>
      <c r="G231" s="1578">
        <v>0</v>
      </c>
      <c r="H231" s="1578"/>
      <c r="I231" s="1578">
        <v>0</v>
      </c>
      <c r="J231" s="1578"/>
      <c r="K231" s="1578">
        <v>0</v>
      </c>
      <c r="L231" s="1578"/>
      <c r="M231" s="2037">
        <f t="shared" si="13"/>
        <v>0</v>
      </c>
      <c r="N231" s="1578"/>
      <c r="O231" s="1578">
        <v>0</v>
      </c>
      <c r="P231" s="1103"/>
      <c r="Q231" s="3463"/>
    </row>
    <row r="232" spans="2:17" s="870" customFormat="1" ht="15.75">
      <c r="B232" s="2357">
        <v>55020</v>
      </c>
      <c r="C232" s="1093"/>
      <c r="D232" s="1097" t="s">
        <v>833</v>
      </c>
      <c r="E232" s="1095"/>
      <c r="F232" s="1095"/>
      <c r="G232" s="1578">
        <v>63772174.450000003</v>
      </c>
      <c r="H232" s="1578"/>
      <c r="I232" s="1578">
        <v>60436532.799999997</v>
      </c>
      <c r="J232" s="1578"/>
      <c r="K232" s="1578">
        <v>72550412.239999995</v>
      </c>
      <c r="L232" s="1578"/>
      <c r="M232" s="2037">
        <f t="shared" si="13"/>
        <v>-3820874.09</v>
      </c>
      <c r="N232" s="1578"/>
      <c r="O232" s="1578">
        <v>68729538.150000006</v>
      </c>
      <c r="P232" s="1103"/>
      <c r="Q232" s="3463"/>
    </row>
    <row r="233" spans="2:17" s="870" customFormat="1" ht="15.75">
      <c r="B233" s="2357">
        <v>55021</v>
      </c>
      <c r="C233" s="1093"/>
      <c r="D233" s="1097" t="s">
        <v>834</v>
      </c>
      <c r="E233" s="1095"/>
      <c r="F233" s="1095"/>
      <c r="G233" s="1578">
        <v>3752909.93</v>
      </c>
      <c r="H233" s="1578"/>
      <c r="I233" s="1578">
        <v>4252431.01</v>
      </c>
      <c r="J233" s="1578"/>
      <c r="K233" s="1578">
        <v>3957345.62</v>
      </c>
      <c r="L233" s="1578"/>
      <c r="M233" s="2037">
        <f t="shared" si="13"/>
        <v>-247478.16</v>
      </c>
      <c r="N233" s="1578"/>
      <c r="O233" s="1578">
        <v>3709867.46</v>
      </c>
      <c r="P233" s="1103"/>
      <c r="Q233" s="3463"/>
    </row>
    <row r="234" spans="2:17" s="870" customFormat="1" ht="15.75">
      <c r="B234" s="2357">
        <v>55022</v>
      </c>
      <c r="C234" s="1093"/>
      <c r="D234" s="1094" t="s">
        <v>835</v>
      </c>
      <c r="E234" s="1095"/>
      <c r="F234" s="1095"/>
      <c r="G234" s="1578">
        <v>599616.22</v>
      </c>
      <c r="H234" s="1578"/>
      <c r="I234" s="1578">
        <v>4032428.83</v>
      </c>
      <c r="J234" s="1578"/>
      <c r="K234" s="1578">
        <v>4635821.59</v>
      </c>
      <c r="L234" s="1578"/>
      <c r="M234" s="2037">
        <f t="shared" si="13"/>
        <v>459750.24</v>
      </c>
      <c r="N234" s="1578"/>
      <c r="O234" s="1578">
        <v>5095571.83</v>
      </c>
      <c r="P234" s="1103"/>
      <c r="Q234" s="3463"/>
    </row>
    <row r="235" spans="2:17" s="870" customFormat="1" ht="15.75">
      <c r="B235" s="2357">
        <v>55052</v>
      </c>
      <c r="C235" s="1093"/>
      <c r="D235" s="1094" t="s">
        <v>836</v>
      </c>
      <c r="E235" s="1095"/>
      <c r="F235" s="1095"/>
      <c r="G235" s="1578">
        <v>0</v>
      </c>
      <c r="H235" s="1578"/>
      <c r="I235" s="1578">
        <v>0</v>
      </c>
      <c r="J235" s="1578"/>
      <c r="K235" s="1578">
        <v>0</v>
      </c>
      <c r="L235" s="1578"/>
      <c r="M235" s="2037">
        <f t="shared" si="13"/>
        <v>0</v>
      </c>
      <c r="N235" s="1578"/>
      <c r="O235" s="1578">
        <v>0</v>
      </c>
      <c r="P235" s="1103"/>
      <c r="Q235" s="3463"/>
    </row>
    <row r="236" spans="2:17" s="870" customFormat="1" ht="15.75">
      <c r="B236" s="2357">
        <v>55053</v>
      </c>
      <c r="C236" s="1093"/>
      <c r="D236" s="1097" t="s">
        <v>837</v>
      </c>
      <c r="E236" s="1095"/>
      <c r="F236" s="1095"/>
      <c r="G236" s="1578">
        <v>0</v>
      </c>
      <c r="H236" s="1578"/>
      <c r="I236" s="1578">
        <v>0</v>
      </c>
      <c r="J236" s="1578"/>
      <c r="K236" s="1578">
        <v>0</v>
      </c>
      <c r="L236" s="1578"/>
      <c r="M236" s="2037">
        <f t="shared" si="13"/>
        <v>0</v>
      </c>
      <c r="N236" s="1578"/>
      <c r="O236" s="1578">
        <v>0</v>
      </c>
      <c r="P236" s="1103"/>
      <c r="Q236" s="3463"/>
    </row>
    <row r="237" spans="2:17" s="870" customFormat="1" ht="15.75">
      <c r="B237" s="2357">
        <v>55056</v>
      </c>
      <c r="C237" s="1093"/>
      <c r="D237" s="1097" t="s">
        <v>838</v>
      </c>
      <c r="E237" s="1095"/>
      <c r="F237" s="1095"/>
      <c r="G237" s="1578">
        <v>0</v>
      </c>
      <c r="H237" s="1578"/>
      <c r="I237" s="1578">
        <v>0</v>
      </c>
      <c r="J237" s="1578"/>
      <c r="K237" s="1578">
        <v>0</v>
      </c>
      <c r="L237" s="1578"/>
      <c r="M237" s="2037">
        <f t="shared" si="13"/>
        <v>0</v>
      </c>
      <c r="N237" s="1578"/>
      <c r="O237" s="1578">
        <v>0</v>
      </c>
      <c r="P237" s="1103"/>
      <c r="Q237" s="3463"/>
    </row>
    <row r="238" spans="2:17" s="870" customFormat="1" ht="15.75">
      <c r="B238" s="2357">
        <v>55057</v>
      </c>
      <c r="C238" s="1093"/>
      <c r="D238" s="1097" t="s">
        <v>839</v>
      </c>
      <c r="E238" s="1095"/>
      <c r="F238" s="1095"/>
      <c r="G238" s="1578">
        <v>564350.29</v>
      </c>
      <c r="H238" s="1578"/>
      <c r="I238" s="1578">
        <v>10896.9799999999</v>
      </c>
      <c r="J238" s="1578"/>
      <c r="K238" s="1578">
        <v>5.8207660913467401E-11</v>
      </c>
      <c r="L238" s="1578"/>
      <c r="M238" s="2037">
        <f t="shared" si="13"/>
        <v>6566.75</v>
      </c>
      <c r="N238" s="1578"/>
      <c r="O238" s="1578">
        <v>6566.75000000006</v>
      </c>
      <c r="P238" s="1103"/>
      <c r="Q238" s="3463"/>
    </row>
    <row r="239" spans="2:17" s="870" customFormat="1" ht="15.75">
      <c r="B239" s="2357">
        <v>55058</v>
      </c>
      <c r="C239" s="1093"/>
      <c r="D239" s="1097" t="s">
        <v>840</v>
      </c>
      <c r="E239" s="1095"/>
      <c r="F239" s="1095"/>
      <c r="G239" s="1578">
        <v>3908044.5</v>
      </c>
      <c r="H239" s="1578"/>
      <c r="I239" s="1578">
        <v>4279548.9800000004</v>
      </c>
      <c r="J239" s="1578"/>
      <c r="K239" s="1578">
        <v>4375586.92</v>
      </c>
      <c r="L239" s="1578"/>
      <c r="M239" s="2037">
        <f t="shared" si="13"/>
        <v>-278500.36</v>
      </c>
      <c r="N239" s="1578"/>
      <c r="O239" s="1578">
        <v>4097086.56</v>
      </c>
      <c r="P239" s="1103"/>
      <c r="Q239" s="3463"/>
    </row>
    <row r="240" spans="2:17" s="870" customFormat="1" ht="15.75">
      <c r="B240" s="2357">
        <v>55059</v>
      </c>
      <c r="C240" s="1093"/>
      <c r="D240" s="1098" t="s">
        <v>1402</v>
      </c>
      <c r="E240" s="1095"/>
      <c r="F240" s="1095"/>
      <c r="G240" s="1578">
        <v>13602951.5</v>
      </c>
      <c r="H240" s="1578"/>
      <c r="I240" s="1578">
        <v>13293544.560000001</v>
      </c>
      <c r="J240" s="1578"/>
      <c r="K240" s="1578">
        <v>12380404.380000001</v>
      </c>
      <c r="L240" s="1578"/>
      <c r="M240" s="2037">
        <f t="shared" ref="M240" si="14">ROUND(SUM(O240)-SUM(K240),2)</f>
        <v>-6239.09</v>
      </c>
      <c r="N240" s="1578"/>
      <c r="O240" s="1578">
        <v>12374165.289999999</v>
      </c>
      <c r="P240" s="1103"/>
      <c r="Q240" s="3463"/>
    </row>
    <row r="241" spans="2:17" s="870" customFormat="1" ht="15.75">
      <c r="B241" s="2357">
        <v>55060</v>
      </c>
      <c r="C241" s="1093"/>
      <c r="D241" s="1094" t="s">
        <v>841</v>
      </c>
      <c r="E241" s="1095"/>
      <c r="F241" s="1095"/>
      <c r="G241" s="1578">
        <v>0</v>
      </c>
      <c r="H241" s="1578"/>
      <c r="I241" s="1578">
        <v>0</v>
      </c>
      <c r="J241" s="1578"/>
      <c r="K241" s="1578">
        <v>0</v>
      </c>
      <c r="L241" s="1578"/>
      <c r="M241" s="2037">
        <f t="shared" si="13"/>
        <v>0</v>
      </c>
      <c r="N241" s="1578"/>
      <c r="O241" s="1578">
        <v>0</v>
      </c>
      <c r="P241" s="1103"/>
      <c r="Q241" s="3463"/>
    </row>
    <row r="242" spans="2:17" s="870" customFormat="1" ht="15.75">
      <c r="B242" s="2357">
        <v>55061</v>
      </c>
      <c r="C242" s="1093"/>
      <c r="D242" s="1094" t="s">
        <v>842</v>
      </c>
      <c r="E242" s="1095"/>
      <c r="F242" s="1095"/>
      <c r="G242" s="1578">
        <v>2103555.59</v>
      </c>
      <c r="H242" s="1578"/>
      <c r="I242" s="1578">
        <v>2094990.81</v>
      </c>
      <c r="J242" s="1578"/>
      <c r="K242" s="1578">
        <v>2147856.48</v>
      </c>
      <c r="L242" s="1578"/>
      <c r="M242" s="2037">
        <f t="shared" si="13"/>
        <v>-71074.59</v>
      </c>
      <c r="N242" s="1578"/>
      <c r="O242" s="1578">
        <v>2076781.89</v>
      </c>
      <c r="P242" s="1103"/>
      <c r="Q242" s="3463"/>
    </row>
    <row r="243" spans="2:17" s="870" customFormat="1" ht="15.75">
      <c r="B243" s="2357">
        <v>55062</v>
      </c>
      <c r="C243" s="1093"/>
      <c r="D243" s="1097" t="s">
        <v>843</v>
      </c>
      <c r="E243" s="1095"/>
      <c r="F243" s="1095"/>
      <c r="G243" s="1578">
        <v>55274037.850000001</v>
      </c>
      <c r="H243" s="1578"/>
      <c r="I243" s="1578">
        <v>55274037.850000001</v>
      </c>
      <c r="J243" s="1578"/>
      <c r="K243" s="1578">
        <v>55237438.770000003</v>
      </c>
      <c r="L243" s="1578"/>
      <c r="M243" s="2037">
        <f t="shared" si="13"/>
        <v>0</v>
      </c>
      <c r="N243" s="1578"/>
      <c r="O243" s="1578">
        <v>55237438.770000003</v>
      </c>
      <c r="P243" s="1103"/>
      <c r="Q243" s="3463"/>
    </row>
    <row r="244" spans="2:17" s="870" customFormat="1" ht="15.75">
      <c r="B244" s="2357">
        <v>55066</v>
      </c>
      <c r="C244" s="1093"/>
      <c r="D244" s="1097" t="s">
        <v>844</v>
      </c>
      <c r="E244" s="1095"/>
      <c r="F244" s="1095"/>
      <c r="G244" s="1578">
        <v>1261584.27</v>
      </c>
      <c r="H244" s="1578"/>
      <c r="I244" s="1578">
        <v>1261584.27</v>
      </c>
      <c r="J244" s="1578"/>
      <c r="K244" s="1578">
        <v>1261584.27</v>
      </c>
      <c r="L244" s="1578"/>
      <c r="M244" s="2037">
        <f t="shared" si="13"/>
        <v>0</v>
      </c>
      <c r="N244" s="1578"/>
      <c r="O244" s="1578">
        <v>1261584.27</v>
      </c>
      <c r="P244" s="1103"/>
      <c r="Q244" s="3463"/>
    </row>
    <row r="245" spans="2:17" s="870" customFormat="1" ht="15.75">
      <c r="B245" s="2357">
        <v>55067</v>
      </c>
      <c r="C245" s="1093"/>
      <c r="D245" s="1097" t="s">
        <v>845</v>
      </c>
      <c r="E245" s="1095"/>
      <c r="F245" s="1095"/>
      <c r="G245" s="1578">
        <v>240252.32</v>
      </c>
      <c r="H245" s="1578"/>
      <c r="I245" s="1578">
        <v>158603.64000000001</v>
      </c>
      <c r="J245" s="1578"/>
      <c r="K245" s="1578">
        <v>92566.07</v>
      </c>
      <c r="L245" s="1578"/>
      <c r="M245" s="2037">
        <f t="shared" si="13"/>
        <v>4726.74</v>
      </c>
      <c r="N245" s="1578"/>
      <c r="O245" s="1578">
        <v>97292.81</v>
      </c>
      <c r="P245" s="1103"/>
      <c r="Q245" s="3463"/>
    </row>
    <row r="246" spans="2:17" s="870" customFormat="1" ht="15.75">
      <c r="B246" s="2357">
        <v>55069</v>
      </c>
      <c r="C246" s="1093"/>
      <c r="D246" s="1097" t="s">
        <v>846</v>
      </c>
      <c r="E246" s="1095"/>
      <c r="F246" s="1095"/>
      <c r="G246" s="1578">
        <v>67698111.209999993</v>
      </c>
      <c r="H246" s="1578"/>
      <c r="I246" s="1578">
        <v>65746489.409999996</v>
      </c>
      <c r="J246" s="1578"/>
      <c r="K246" s="1578">
        <v>43987387.75</v>
      </c>
      <c r="L246" s="1578"/>
      <c r="M246" s="2037">
        <f t="shared" si="13"/>
        <v>31305575.829999998</v>
      </c>
      <c r="N246" s="1578"/>
      <c r="O246" s="1578">
        <v>75292963.579999998</v>
      </c>
      <c r="P246" s="1103"/>
      <c r="Q246" s="3463"/>
    </row>
    <row r="247" spans="2:17" s="870" customFormat="1" ht="15.75">
      <c r="B247" s="1086">
        <v>55071</v>
      </c>
      <c r="C247" s="1093"/>
      <c r="D247" s="1097" t="s">
        <v>1043</v>
      </c>
      <c r="E247" s="1095"/>
      <c r="F247" s="1095"/>
      <c r="G247" s="1578">
        <v>64887.77</v>
      </c>
      <c r="H247" s="1578"/>
      <c r="I247" s="1578">
        <v>356740.07</v>
      </c>
      <c r="J247" s="1578"/>
      <c r="K247" s="1578">
        <v>0</v>
      </c>
      <c r="L247" s="1578"/>
      <c r="M247" s="2037">
        <f t="shared" si="13"/>
        <v>150476.85</v>
      </c>
      <c r="N247" s="1578"/>
      <c r="O247" s="1578">
        <v>150476.85</v>
      </c>
      <c r="P247" s="1103"/>
      <c r="Q247" s="3463"/>
    </row>
    <row r="248" spans="2:17" s="870" customFormat="1" ht="15.75">
      <c r="B248" s="2357">
        <v>55072</v>
      </c>
      <c r="C248" s="1093"/>
      <c r="D248" s="1097" t="s">
        <v>1044</v>
      </c>
      <c r="E248" s="1095"/>
      <c r="F248" s="1095"/>
      <c r="G248" s="1578">
        <v>1761431.24</v>
      </c>
      <c r="H248" s="1578"/>
      <c r="I248" s="1578">
        <v>0</v>
      </c>
      <c r="J248" s="1578"/>
      <c r="K248" s="1578">
        <v>0</v>
      </c>
      <c r="L248" s="1578"/>
      <c r="M248" s="2037">
        <f t="shared" si="13"/>
        <v>0</v>
      </c>
      <c r="N248" s="1578"/>
      <c r="O248" s="1578">
        <v>0</v>
      </c>
      <c r="P248" s="1103"/>
      <c r="Q248" s="3463"/>
    </row>
    <row r="249" spans="2:17" s="870" customFormat="1" ht="15.75">
      <c r="B249" s="1086">
        <v>55073</v>
      </c>
      <c r="C249" s="1093"/>
      <c r="D249" s="1097" t="s">
        <v>1045</v>
      </c>
      <c r="E249" s="1095"/>
      <c r="F249" s="1095"/>
      <c r="G249" s="1578">
        <v>0</v>
      </c>
      <c r="H249" s="1578"/>
      <c r="I249" s="1578">
        <v>0</v>
      </c>
      <c r="J249" s="1578"/>
      <c r="K249" s="1578">
        <v>0</v>
      </c>
      <c r="L249" s="1578"/>
      <c r="M249" s="2037">
        <f t="shared" si="13"/>
        <v>0</v>
      </c>
      <c r="N249" s="1578"/>
      <c r="O249" s="1578">
        <v>0</v>
      </c>
      <c r="P249" s="1103"/>
      <c r="Q249" s="3463"/>
    </row>
    <row r="250" spans="2:17" s="870" customFormat="1" ht="15.75">
      <c r="B250" s="1086">
        <v>55074</v>
      </c>
      <c r="C250" s="1093"/>
      <c r="D250" s="1097" t="s">
        <v>1446</v>
      </c>
      <c r="E250" s="1095"/>
      <c r="F250" s="1095"/>
      <c r="G250" s="1578">
        <v>0</v>
      </c>
      <c r="H250" s="1578"/>
      <c r="I250" s="1578">
        <v>1960984.6</v>
      </c>
      <c r="J250" s="1578"/>
      <c r="K250" s="1578">
        <v>4751953.0199999996</v>
      </c>
      <c r="L250" s="1578"/>
      <c r="M250" s="2037">
        <f t="shared" ref="M250" si="15">ROUND(SUM(O250)-SUM(K250),2)</f>
        <v>369841.94</v>
      </c>
      <c r="N250" s="1578"/>
      <c r="O250" s="1578">
        <v>5121794.96</v>
      </c>
      <c r="P250" s="1103"/>
      <c r="Q250" s="3463"/>
    </row>
    <row r="251" spans="2:17" s="870" customFormat="1" ht="15.75">
      <c r="B251" s="2357">
        <v>55251</v>
      </c>
      <c r="C251" s="1093"/>
      <c r="D251" s="1094" t="s">
        <v>847</v>
      </c>
      <c r="E251" s="1095"/>
      <c r="F251" s="1095"/>
      <c r="G251" s="1578">
        <v>8590746.3399999999</v>
      </c>
      <c r="H251" s="1578"/>
      <c r="I251" s="1578">
        <v>8800515.3900000006</v>
      </c>
      <c r="J251" s="1578"/>
      <c r="K251" s="1578">
        <v>6472948.7300000004</v>
      </c>
      <c r="L251" s="1578"/>
      <c r="M251" s="2037">
        <f t="shared" si="13"/>
        <v>199702.57</v>
      </c>
      <c r="N251" s="1578"/>
      <c r="O251" s="1578">
        <v>6672651.2999999998</v>
      </c>
      <c r="P251" s="1103"/>
      <c r="Q251" s="3463"/>
    </row>
    <row r="252" spans="2:17" s="870" customFormat="1" ht="15.75">
      <c r="B252" s="2357">
        <v>55252</v>
      </c>
      <c r="C252" s="1093"/>
      <c r="D252" s="1097" t="s">
        <v>848</v>
      </c>
      <c r="E252" s="1095"/>
      <c r="F252" s="1095"/>
      <c r="G252" s="1578">
        <v>14751539.369999999</v>
      </c>
      <c r="H252" s="1578"/>
      <c r="I252" s="1578">
        <v>16359417.640000001</v>
      </c>
      <c r="J252" s="1578"/>
      <c r="K252" s="1578">
        <v>21979750.989999998</v>
      </c>
      <c r="L252" s="1578"/>
      <c r="M252" s="2037">
        <f t="shared" si="13"/>
        <v>1072502.6299999999</v>
      </c>
      <c r="N252" s="1578"/>
      <c r="O252" s="1578">
        <v>23052253.620000001</v>
      </c>
      <c r="P252" s="1103"/>
      <c r="Q252" s="3463"/>
    </row>
    <row r="253" spans="2:17" s="870" customFormat="1" ht="15.75">
      <c r="B253" s="2357">
        <v>55300</v>
      </c>
      <c r="C253" s="1093"/>
      <c r="D253" s="1094" t="s">
        <v>849</v>
      </c>
      <c r="E253" s="1095"/>
      <c r="F253" s="1095"/>
      <c r="G253" s="1578">
        <v>2184434.0499999998</v>
      </c>
      <c r="H253" s="1578"/>
      <c r="I253" s="1578">
        <v>2605788.4500000002</v>
      </c>
      <c r="J253" s="1578"/>
      <c r="K253" s="1578">
        <v>4539643.2</v>
      </c>
      <c r="L253" s="1578"/>
      <c r="M253" s="2037">
        <f t="shared" si="13"/>
        <v>172989.25</v>
      </c>
      <c r="N253" s="1578"/>
      <c r="O253" s="1578">
        <v>4712632.45</v>
      </c>
      <c r="P253" s="1103"/>
      <c r="Q253" s="3463"/>
    </row>
    <row r="254" spans="2:17" s="870" customFormat="1" ht="15.75">
      <c r="B254" s="2357">
        <v>55301</v>
      </c>
      <c r="C254" s="1093"/>
      <c r="D254" s="1094" t="s">
        <v>850</v>
      </c>
      <c r="E254" s="1095"/>
      <c r="F254" s="1095"/>
      <c r="G254" s="1578">
        <v>5979106.0599999996</v>
      </c>
      <c r="H254" s="1578"/>
      <c r="I254" s="1578">
        <v>5396421.8600000003</v>
      </c>
      <c r="J254" s="1578"/>
      <c r="K254" s="1578">
        <v>5271357.5999999996</v>
      </c>
      <c r="L254" s="1578"/>
      <c r="M254" s="2037">
        <f t="shared" si="13"/>
        <v>-527491.16</v>
      </c>
      <c r="N254" s="1578"/>
      <c r="O254" s="1578">
        <v>4743866.4400000004</v>
      </c>
      <c r="P254" s="1103"/>
      <c r="Q254" s="3463"/>
    </row>
    <row r="255" spans="2:17" s="870" customFormat="1" ht="15.75">
      <c r="B255" s="2357">
        <v>55350</v>
      </c>
      <c r="C255" s="1395"/>
      <c r="D255" s="1094" t="s">
        <v>851</v>
      </c>
      <c r="E255" s="1168"/>
      <c r="F255" s="1168"/>
      <c r="G255" s="1578">
        <v>33526774.309999999</v>
      </c>
      <c r="H255" s="1578"/>
      <c r="I255" s="1578">
        <v>33466380.960000001</v>
      </c>
      <c r="J255" s="1578"/>
      <c r="K255" s="1578">
        <v>24932490.969999999</v>
      </c>
      <c r="L255" s="1578"/>
      <c r="M255" s="2037">
        <f t="shared" si="13"/>
        <v>-1254941.8</v>
      </c>
      <c r="N255" s="1578"/>
      <c r="O255" s="1578">
        <v>23677549.170000002</v>
      </c>
      <c r="P255" s="1103"/>
      <c r="Q255" s="3463"/>
    </row>
    <row r="256" spans="2:17" s="870" customFormat="1" ht="16.5" thickBot="1">
      <c r="B256" s="1415"/>
      <c r="C256" s="1166"/>
      <c r="D256" s="2673" t="s">
        <v>852</v>
      </c>
      <c r="E256" s="1163"/>
      <c r="F256" s="1163"/>
      <c r="G256" s="2622">
        <f>ROUND(SUM(G213:G255),2)</f>
        <v>309294648.61000001</v>
      </c>
      <c r="H256" s="1437"/>
      <c r="I256" s="2622">
        <f>ROUND(SUM(I213:I255),2)</f>
        <v>315300114.69999999</v>
      </c>
      <c r="J256" s="1437"/>
      <c r="K256" s="2622">
        <f>ROUND(SUM(K213:K255),2)</f>
        <v>301717618.43000001</v>
      </c>
      <c r="L256" s="1437"/>
      <c r="M256" s="2039">
        <f>ROUND(SUM(M213:M255),2)</f>
        <v>30415288.010000002</v>
      </c>
      <c r="N256" s="1437"/>
      <c r="O256" s="2622">
        <f>ROUND(SUM(O213:O255),2)</f>
        <v>332132906.44</v>
      </c>
      <c r="P256" s="1103"/>
      <c r="Q256" s="3463"/>
    </row>
    <row r="257" spans="2:17" s="870" customFormat="1" ht="16.5" thickTop="1">
      <c r="B257" s="1404"/>
      <c r="C257" s="1395"/>
      <c r="D257" s="1416"/>
      <c r="E257" s="1168"/>
      <c r="F257" s="1168"/>
      <c r="G257" s="1578"/>
      <c r="H257" s="1391"/>
      <c r="I257" s="1578"/>
      <c r="J257" s="1391"/>
      <c r="K257" s="1578"/>
      <c r="L257" s="1391"/>
      <c r="M257" s="2037"/>
      <c r="N257" s="1348"/>
      <c r="O257" s="1578"/>
      <c r="P257" s="1103"/>
      <c r="Q257" s="3463"/>
    </row>
    <row r="258" spans="2:17" s="870" customFormat="1" ht="16.5" thickBot="1">
      <c r="B258" s="1404"/>
      <c r="C258" s="1395"/>
      <c r="D258" s="1416"/>
      <c r="E258" s="1168"/>
      <c r="F258" s="1168"/>
      <c r="G258" s="1578"/>
      <c r="H258" s="1391"/>
      <c r="I258" s="1578"/>
      <c r="J258" s="1391"/>
      <c r="K258" s="1578"/>
      <c r="L258" s="1391"/>
      <c r="M258" s="2037"/>
      <c r="N258" s="1348"/>
      <c r="O258" s="1578"/>
      <c r="P258" s="1103"/>
      <c r="Q258" s="3463"/>
    </row>
    <row r="259" spans="2:17" s="870" customFormat="1" ht="16.5" thickBot="1">
      <c r="B259" s="1415"/>
      <c r="C259" s="1417"/>
      <c r="D259" s="1104" t="s">
        <v>853</v>
      </c>
      <c r="E259" s="1163"/>
      <c r="F259" s="1418"/>
      <c r="G259" s="2624">
        <f>ROUND(SUM(G11+G101+G186+G200+G205+G210+G256),2)</f>
        <v>5203519309.21</v>
      </c>
      <c r="H259" s="2364"/>
      <c r="I259" s="2624">
        <f>ROUND(SUM(I11+I101+I186+I200+I205+I210+I256),2)</f>
        <v>6457468698.0200005</v>
      </c>
      <c r="J259" s="2364"/>
      <c r="K259" s="2624">
        <f>ROUND(SUM(K11+K101+K186+K200+K205+K210+K256),2)</f>
        <v>3090418827.4000001</v>
      </c>
      <c r="L259" s="2364"/>
      <c r="M259" s="2363">
        <f>ROUND(SUM(M11+M101+M186+M200+M205+M210+M256),2)</f>
        <v>276945654.72000003</v>
      </c>
      <c r="N259" s="2364"/>
      <c r="O259" s="2624">
        <f>ROUND(SUM(O11+O101+O186+O200+O205+O210+O256),2)</f>
        <v>3367364482.1199999</v>
      </c>
      <c r="P259" s="1103"/>
      <c r="Q259" s="3463"/>
    </row>
    <row r="260" spans="2:17" s="870" customFormat="1" ht="15.75">
      <c r="B260" s="1404"/>
      <c r="C260" s="1395"/>
      <c r="D260" s="1416"/>
      <c r="E260" s="1168"/>
      <c r="F260" s="1168"/>
      <c r="G260"/>
      <c r="H260" s="1400"/>
      <c r="I260" s="2038"/>
      <c r="J260" s="1400"/>
      <c r="K260" s="2038"/>
      <c r="L260" s="1400"/>
      <c r="M260" s="2041"/>
      <c r="N260" s="1395"/>
      <c r="O260" s="2041"/>
      <c r="P260" s="1103"/>
    </row>
    <row r="261" spans="2:17" s="870" customFormat="1" ht="15.75">
      <c r="B261" s="2516" t="s">
        <v>941</v>
      </c>
      <c r="C261" s="2517" t="s">
        <v>1481</v>
      </c>
      <c r="D261" s="1532"/>
      <c r="E261" s="1429"/>
      <c r="F261" s="1429"/>
      <c r="G261" s="2038"/>
      <c r="H261" s="2518"/>
      <c r="I261" s="2042"/>
      <c r="J261" s="2519"/>
      <c r="K261" s="2042"/>
      <c r="L261" s="1167"/>
      <c r="M261" s="2042"/>
      <c r="N261" s="1167"/>
      <c r="O261" s="2042"/>
      <c r="P261" s="1103"/>
    </row>
    <row r="262" spans="2:17" s="870" customFormat="1" ht="15.75">
      <c r="B262" s="1419"/>
      <c r="C262" s="1182" t="s">
        <v>854</v>
      </c>
      <c r="D262" s="1530"/>
      <c r="E262" s="1182"/>
      <c r="F262" s="1182"/>
      <c r="G262" s="2042"/>
      <c r="H262" s="1181"/>
      <c r="I262" s="2042"/>
      <c r="J262" s="1167"/>
      <c r="K262" s="2042"/>
      <c r="L262" s="1167"/>
      <c r="M262" s="2042"/>
      <c r="N262" s="1167"/>
      <c r="O262" s="2042"/>
      <c r="P262" s="1103"/>
    </row>
    <row r="263" spans="2:17" s="870" customFormat="1" ht="15.75">
      <c r="B263" s="1419"/>
      <c r="C263" s="1182" t="s">
        <v>855</v>
      </c>
      <c r="D263" s="1529"/>
      <c r="E263" s="1182"/>
      <c r="F263" s="1182"/>
      <c r="G263" s="2042"/>
      <c r="H263" s="1181"/>
      <c r="I263" s="2043"/>
      <c r="J263" s="1172"/>
      <c r="K263" s="2043"/>
      <c r="L263" s="1172"/>
      <c r="M263" s="2043"/>
      <c r="N263" s="1172"/>
      <c r="O263" s="2043"/>
      <c r="P263" s="1103"/>
    </row>
    <row r="264" spans="2:17" s="870" customFormat="1" ht="15.75">
      <c r="B264" s="1419"/>
      <c r="C264" s="1182" t="s">
        <v>856</v>
      </c>
      <c r="D264" s="1529"/>
      <c r="E264" s="1182"/>
      <c r="F264" s="1182"/>
      <c r="G264" s="2043"/>
      <c r="H264" s="1181"/>
      <c r="I264" s="2043"/>
      <c r="J264" s="1172"/>
      <c r="K264" s="2043"/>
      <c r="L264" s="1172"/>
      <c r="M264" s="2043"/>
      <c r="N264" s="1172"/>
      <c r="O264" s="2043"/>
      <c r="P264" s="1103"/>
    </row>
    <row r="265" spans="2:17" s="870" customFormat="1" ht="15.75">
      <c r="B265" s="1419"/>
      <c r="C265" s="1182" t="s">
        <v>857</v>
      </c>
      <c r="D265" s="1529"/>
      <c r="E265" s="1182"/>
      <c r="F265" s="1182"/>
      <c r="G265" s="2043"/>
      <c r="H265" s="1181"/>
      <c r="I265" s="2044"/>
      <c r="J265" s="1420"/>
      <c r="K265" s="2044"/>
      <c r="L265" s="1420"/>
      <c r="M265" s="2044"/>
      <c r="N265" s="1420"/>
      <c r="O265" s="2044"/>
      <c r="P265" s="1103"/>
    </row>
    <row r="266" spans="2:17" s="870" customFormat="1" ht="15.75">
      <c r="B266" s="1105"/>
      <c r="C266" s="1182" t="s">
        <v>1385</v>
      </c>
      <c r="D266" s="1529"/>
      <c r="E266" s="1182"/>
      <c r="F266" s="1182"/>
      <c r="G266" s="2044"/>
      <c r="H266" s="1181"/>
      <c r="I266" s="2044"/>
      <c r="J266" s="1420"/>
      <c r="K266" s="2044"/>
      <c r="L266" s="1420"/>
      <c r="M266" s="2044"/>
      <c r="N266" s="1420"/>
      <c r="O266" s="2044"/>
      <c r="P266" s="1173"/>
    </row>
    <row r="267" spans="2:17" s="870" customFormat="1" ht="15.75">
      <c r="B267" s="1105"/>
      <c r="C267" s="1181" t="s">
        <v>942</v>
      </c>
      <c r="D267" s="1531"/>
      <c r="E267" s="1181"/>
      <c r="F267" s="1181"/>
      <c r="G267" s="2044"/>
      <c r="H267" s="1181"/>
      <c r="I267" s="2044"/>
      <c r="J267" s="1420"/>
      <c r="K267" s="2044"/>
      <c r="L267" s="1420"/>
      <c r="M267" s="2044"/>
      <c r="N267" s="1420"/>
      <c r="O267" s="2044"/>
      <c r="P267" s="1103"/>
    </row>
    <row r="268" spans="2:17" s="870" customFormat="1" ht="15.75">
      <c r="B268" s="1421" t="s">
        <v>115</v>
      </c>
      <c r="C268" s="1429" t="s">
        <v>1361</v>
      </c>
      <c r="D268" s="1532"/>
      <c r="E268" s="1181"/>
      <c r="F268" s="1181"/>
      <c r="G268" s="2044"/>
      <c r="H268" s="1181"/>
      <c r="I268" s="1425"/>
      <c r="J268" s="1424"/>
      <c r="K268" s="1425"/>
      <c r="L268" s="1426"/>
      <c r="M268" s="1427"/>
      <c r="N268" s="1428"/>
      <c r="O268" s="1425"/>
      <c r="P268" s="1168"/>
    </row>
    <row r="269" spans="2:17" s="870" customFormat="1" ht="15.75">
      <c r="B269" s="1435"/>
      <c r="C269" s="1425" t="s">
        <v>1362</v>
      </c>
      <c r="D269" s="1063"/>
      <c r="E269" s="1181"/>
      <c r="F269" s="1181"/>
      <c r="G269" s="1425"/>
      <c r="H269" s="1181"/>
      <c r="I269" s="1425"/>
      <c r="J269" s="1424"/>
      <c r="K269" s="1425"/>
      <c r="L269" s="1426"/>
      <c r="M269" s="1427"/>
      <c r="N269" s="1428"/>
      <c r="O269" s="1425"/>
      <c r="P269" s="1165"/>
    </row>
    <row r="270" spans="2:17" s="870" customFormat="1" ht="15.75">
      <c r="B270" s="1436" t="s">
        <v>940</v>
      </c>
      <c r="C270" s="1105" t="s">
        <v>1068</v>
      </c>
      <c r="D270" s="1063"/>
      <c r="E270" s="1430"/>
      <c r="F270" s="1431"/>
      <c r="G270" s="1425"/>
      <c r="H270" s="1432"/>
      <c r="I270" s="1422"/>
      <c r="J270" s="1433"/>
      <c r="K270" s="1422"/>
      <c r="L270" s="1432"/>
      <c r="M270" s="1423"/>
      <c r="N270" s="1434"/>
      <c r="O270" s="1422"/>
      <c r="P270" s="1164"/>
    </row>
    <row r="271" spans="2:17" s="870" customFormat="1" ht="15.75">
      <c r="B271" s="3555" t="s">
        <v>939</v>
      </c>
      <c r="C271" s="3556" t="s">
        <v>1480</v>
      </c>
      <c r="D271" s="1063"/>
      <c r="E271" s="1430"/>
      <c r="F271" s="1431"/>
      <c r="G271" s="1425"/>
      <c r="H271" s="1432"/>
      <c r="I271" s="1422"/>
      <c r="J271" s="1433"/>
      <c r="K271" s="1422"/>
      <c r="L271" s="1432"/>
      <c r="M271" s="1423"/>
      <c r="N271" s="1434"/>
      <c r="O271" s="1422"/>
      <c r="P271" s="1164"/>
    </row>
    <row r="272" spans="2:17" s="870" customFormat="1" ht="15.75">
      <c r="B272" s="1184"/>
      <c r="C272" s="1106"/>
      <c r="D272" s="1244"/>
      <c r="E272" s="1182"/>
      <c r="F272" s="1182"/>
      <c r="G272" s="1425"/>
      <c r="H272" s="1244"/>
      <c r="I272" s="1244"/>
      <c r="J272" s="1244"/>
      <c r="K272" s="1244"/>
      <c r="L272" s="1244"/>
      <c r="M272" s="1244"/>
      <c r="N272" s="1244"/>
      <c r="O272" s="1244"/>
      <c r="P272" s="1181"/>
    </row>
    <row r="273" spans="2:16" s="870" customFormat="1" ht="15.75">
      <c r="C273" s="1106"/>
      <c r="D273" s="1165"/>
      <c r="E273" s="1180"/>
      <c r="F273" s="1180"/>
      <c r="G273" s="1244"/>
      <c r="H273" s="1172"/>
      <c r="I273" s="1165"/>
      <c r="J273" s="1172"/>
      <c r="K273" s="1165"/>
      <c r="L273" s="1172"/>
      <c r="M273" s="1165"/>
      <c r="N273" s="1172"/>
      <c r="O273" s="1165"/>
      <c r="P273" s="1181"/>
    </row>
    <row r="274" spans="2:16" s="870" customFormat="1" ht="15.75">
      <c r="C274" s="1106"/>
      <c r="D274" s="1165"/>
      <c r="E274" s="1182"/>
      <c r="F274" s="1182"/>
      <c r="G274" s="3557"/>
      <c r="H274" s="3557"/>
      <c r="I274" s="3557"/>
      <c r="J274" s="3557"/>
      <c r="K274" s="3557"/>
      <c r="L274" s="3557"/>
      <c r="M274" s="3557"/>
      <c r="N274" s="3557"/>
      <c r="O274" s="3557"/>
      <c r="P274" s="1181"/>
    </row>
    <row r="275" spans="2:16" s="870" customFormat="1" ht="15.75">
      <c r="B275" s="1106"/>
      <c r="C275" s="1106"/>
      <c r="D275" s="1165"/>
      <c r="E275" s="1182"/>
      <c r="F275" s="1182"/>
      <c r="G275" s="1107"/>
      <c r="H275" s="1107"/>
      <c r="I275" s="1107"/>
      <c r="J275" s="1107"/>
      <c r="K275" s="1107"/>
      <c r="L275" s="1107"/>
      <c r="M275" s="1165"/>
      <c r="N275" s="1172"/>
      <c r="O275" s="1165"/>
      <c r="P275" s="1181"/>
    </row>
    <row r="276" spans="2:16" s="870" customFormat="1" ht="15.75">
      <c r="B276" s="1106"/>
      <c r="C276" s="1106"/>
      <c r="D276" s="1165"/>
      <c r="E276" s="1182"/>
      <c r="F276" s="1182"/>
      <c r="G276" s="1107"/>
      <c r="H276" s="1107"/>
      <c r="I276" s="1107"/>
      <c r="J276" s="1107"/>
      <c r="K276" s="1107"/>
      <c r="L276" s="1107"/>
      <c r="M276" s="1165"/>
      <c r="N276" s="1172"/>
      <c r="O276" s="1165"/>
      <c r="P276" s="1181"/>
    </row>
    <row r="277" spans="2:16" s="870" customFormat="1" ht="15.75">
      <c r="B277" s="1183"/>
      <c r="C277" s="1181"/>
      <c r="D277" s="1165"/>
      <c r="E277" s="1182"/>
      <c r="F277" s="1182"/>
      <c r="G277" s="1107"/>
      <c r="H277" s="1185"/>
      <c r="I277" s="1181"/>
      <c r="J277" s="1185"/>
      <c r="K277" s="1181"/>
      <c r="L277" s="1172"/>
      <c r="M277" s="1165"/>
      <c r="N277" s="1172"/>
      <c r="O277" s="1165"/>
      <c r="P277" s="1184"/>
    </row>
    <row r="278" spans="2:16" s="870" customFormat="1" ht="15.75">
      <c r="B278" s="1108"/>
      <c r="C278" s="1181"/>
      <c r="D278" s="1165"/>
      <c r="E278" s="1182"/>
      <c r="F278" s="1182"/>
      <c r="G278" s="1181"/>
      <c r="H278" s="1185"/>
      <c r="I278" s="1181"/>
      <c r="J278" s="1185"/>
      <c r="K278" s="1181"/>
      <c r="L278" s="1172"/>
      <c r="M278" s="1165"/>
      <c r="N278" s="1172"/>
      <c r="O278" s="1165"/>
      <c r="P278" s="1184"/>
    </row>
    <row r="279" spans="2:16" s="870" customFormat="1" ht="15.75">
      <c r="B279" s="1108"/>
      <c r="C279" s="1181"/>
      <c r="D279" s="1165"/>
      <c r="E279" s="1182"/>
      <c r="F279" s="1182"/>
      <c r="G279" s="1181"/>
      <c r="H279" s="1185"/>
      <c r="I279" s="1181"/>
      <c r="J279" s="1185"/>
      <c r="K279" s="1181"/>
      <c r="L279" s="1172"/>
      <c r="M279" s="1063"/>
      <c r="N279" s="1167"/>
      <c r="O279" s="1063"/>
      <c r="P279" s="1184"/>
    </row>
    <row r="280" spans="2:16" s="870" customFormat="1" ht="15.75">
      <c r="B280" s="1184"/>
      <c r="C280" s="1181"/>
      <c r="D280" s="1165"/>
      <c r="E280"/>
      <c r="F280" s="1185"/>
      <c r="G280" s="1181"/>
      <c r="H280" s="1185"/>
      <c r="I280" s="1181"/>
      <c r="J280" s="1185"/>
      <c r="K280" s="1181"/>
      <c r="L280" s="1167"/>
      <c r="M280" s="1063"/>
      <c r="N280" s="1167"/>
      <c r="O280" s="1063"/>
      <c r="P280" s="1184"/>
    </row>
    <row r="281" spans="2:16" s="870" customFormat="1" ht="15.75">
      <c r="B281" s="1184"/>
      <c r="C281" s="1181"/>
      <c r="D281" s="1165"/>
      <c r="E281"/>
      <c r="F281" s="1185"/>
      <c r="G281" s="1181"/>
      <c r="H281" s="1185"/>
      <c r="I281" s="1181"/>
      <c r="J281" s="1185"/>
      <c r="K281" s="1181"/>
      <c r="L281" s="1167"/>
      <c r="M281" s="1109"/>
      <c r="N281" s="1186"/>
      <c r="O281" s="1109"/>
      <c r="P281" s="1184"/>
    </row>
    <row r="282" spans="2:16" ht="15.75">
      <c r="B282" s="1184"/>
      <c r="C282" s="1181"/>
      <c r="D282" s="1165"/>
      <c r="E282"/>
      <c r="F282" s="1185"/>
      <c r="G282" s="1181"/>
      <c r="H282" s="1185"/>
      <c r="I282" s="1181"/>
      <c r="J282" s="1185"/>
      <c r="K282" s="1181"/>
      <c r="L282" s="1167"/>
      <c r="M282" s="1063"/>
      <c r="N282" s="1167"/>
      <c r="O282" s="1063"/>
      <c r="P282" s="1184"/>
    </row>
    <row r="283" spans="2:16" ht="15.75">
      <c r="G283" s="1181"/>
    </row>
    <row r="288" spans="2:16" ht="15.75">
      <c r="C288" s="2034"/>
      <c r="D288" s="1577"/>
      <c r="E288" s="2034"/>
      <c r="F288" s="2035"/>
      <c r="H288" s="2047"/>
      <c r="I288" s="2046"/>
      <c r="J288" s="2047"/>
      <c r="K288" s="2046"/>
      <c r="L288" s="2047"/>
    </row>
    <row r="289" spans="3:12" ht="15.75">
      <c r="C289" s="2034"/>
      <c r="D289" s="1577"/>
      <c r="E289" s="2034"/>
      <c r="F289" s="2035"/>
      <c r="G289" s="2046"/>
      <c r="H289" s="2047"/>
      <c r="I289" s="2046"/>
      <c r="J289" s="2047"/>
      <c r="K289" s="2046"/>
      <c r="L289" s="2047"/>
    </row>
    <row r="290" spans="3:12" ht="15.75">
      <c r="C290" s="2034"/>
      <c r="D290" s="1577"/>
      <c r="E290" s="2034"/>
      <c r="F290" s="2035"/>
      <c r="G290" s="2046"/>
      <c r="H290" s="2047"/>
      <c r="I290" s="2046"/>
      <c r="J290" s="2047"/>
      <c r="K290" s="2046"/>
      <c r="L290" s="2047"/>
    </row>
    <row r="291" spans="3:12" ht="15.75">
      <c r="C291" s="2034"/>
      <c r="D291" s="1577"/>
      <c r="E291" s="2034"/>
      <c r="F291" s="2035"/>
      <c r="G291" s="2046"/>
      <c r="H291" s="2047"/>
      <c r="I291" s="2046"/>
      <c r="J291" s="2047"/>
      <c r="K291" s="2046"/>
      <c r="L291" s="2047"/>
    </row>
    <row r="292" spans="3:12" ht="15.75">
      <c r="C292" s="2034"/>
      <c r="D292" s="1577"/>
      <c r="E292" s="2034"/>
      <c r="F292" s="2035"/>
      <c r="G292" s="2046"/>
      <c r="H292" s="2047"/>
      <c r="I292" s="2046"/>
      <c r="J292" s="2047"/>
      <c r="K292" s="2046"/>
      <c r="L292" s="2047"/>
    </row>
    <row r="293" spans="3:12">
      <c r="G293" s="2046"/>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3" firstPageNumber="53" fitToHeight="4" orientation="landscape" useFirstPageNumber="1" r:id="rId2"/>
  <headerFooter scaleWithDoc="0" alignWithMargins="0">
    <oddFooter>&amp;C&amp;8&amp;P</oddFooter>
  </headerFooter>
  <rowBreaks count="3" manualBreakCount="3">
    <brk id="86" max="16383" man="1"/>
    <brk id="153" max="16383" man="1"/>
    <brk id="216" max="16383" man="1"/>
  </rowBreaks>
  <ignoredErrors>
    <ignoredError sqref="L11 N11 L205 N205 L210 N210 L256 N256 L259 N259 L12:N13 L102:N103 L187:N188 L201:N202 L206:N207 L211:N212 L257:N258" unlockedFormula="1"/>
    <ignoredError sqref="G186:O186"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3"/>
  <sheetViews>
    <sheetView showGridLines="0" zoomScale="70" workbookViewId="0"/>
  </sheetViews>
  <sheetFormatPr defaultColWidth="8.88671875" defaultRowHeight="12.75"/>
  <cols>
    <col min="1" max="1" width="54.77734375" style="838" customWidth="1"/>
    <col min="2" max="2" width="13.77734375" style="2596" customWidth="1"/>
    <col min="3" max="3" width="1.77734375" style="2596" customWidth="1"/>
    <col min="4" max="4" width="13.77734375" style="2596" customWidth="1"/>
    <col min="5" max="5" width="1.6640625" style="2595" customWidth="1"/>
    <col min="6" max="6" width="13.77734375" style="2596" customWidth="1"/>
    <col min="7" max="7" width="1.6640625" style="2595" customWidth="1"/>
    <col min="8" max="8" width="13.77734375" style="2596" customWidth="1"/>
    <col min="9" max="9" width="1.6640625" style="2595" customWidth="1"/>
    <col min="10" max="10" width="13.77734375" style="2596" customWidth="1"/>
    <col min="11" max="11" width="1.6640625" style="2596" customWidth="1"/>
    <col min="12" max="12" width="13.77734375" style="2596" customWidth="1"/>
    <col min="13" max="13" width="1.6640625" style="2595" customWidth="1"/>
    <col min="14" max="14" width="13.77734375" style="2596" customWidth="1"/>
    <col min="15" max="15" width="1.6640625" style="2595" customWidth="1"/>
    <col min="16" max="16" width="13.77734375" style="2596" customWidth="1"/>
    <col min="17" max="17" width="1.6640625" style="2595" customWidth="1"/>
    <col min="18" max="18" width="13.77734375" style="2596" customWidth="1"/>
    <col min="19" max="19" width="1.6640625" style="2595" customWidth="1"/>
    <col min="20" max="20" width="13.77734375" style="2596" customWidth="1"/>
    <col min="21" max="21" width="1.6640625" style="2595" customWidth="1"/>
    <col min="22" max="22" width="13.77734375" style="2596" customWidth="1"/>
    <col min="23" max="23" width="1.6640625" style="2595" customWidth="1"/>
    <col min="24" max="24" width="13.77734375" style="2596" customWidth="1"/>
    <col min="25" max="25" width="1.6640625" style="2595" customWidth="1"/>
    <col min="26" max="26" width="18.88671875" style="714" customWidth="1"/>
    <col min="27" max="27" width="1.5546875" style="838" customWidth="1"/>
    <col min="28" max="28" width="18.77734375" style="838" bestFit="1" customWidth="1"/>
    <col min="29" max="29" width="12.6640625" style="838" bestFit="1" customWidth="1"/>
    <col min="30" max="16384" width="8.88671875" style="838"/>
  </cols>
  <sheetData>
    <row r="1" spans="1:40" ht="15">
      <c r="A1" s="1602" t="s">
        <v>1064</v>
      </c>
      <c r="B1" s="2138"/>
      <c r="C1" s="2138"/>
      <c r="D1" s="2138"/>
      <c r="E1" s="2138"/>
      <c r="F1" s="2138"/>
      <c r="G1" s="2138"/>
      <c r="H1" s="2138"/>
      <c r="I1" s="2138"/>
      <c r="J1" s="2138"/>
      <c r="K1" s="2138"/>
      <c r="L1" s="2138"/>
      <c r="M1" s="2138"/>
      <c r="N1" s="2138"/>
      <c r="O1" s="2138"/>
      <c r="P1" s="2138"/>
      <c r="Q1" s="2138"/>
      <c r="R1" s="2138"/>
      <c r="S1" s="2138"/>
      <c r="T1" s="2138"/>
      <c r="U1" s="2138"/>
      <c r="V1" s="2138"/>
      <c r="W1" s="2138"/>
      <c r="X1" s="2138"/>
      <c r="Y1" s="2138"/>
      <c r="Z1" s="2138"/>
      <c r="AA1" s="2138"/>
      <c r="AB1" s="2138"/>
      <c r="AC1" s="2138"/>
      <c r="AD1" s="2138"/>
      <c r="AE1" s="2138"/>
      <c r="AF1" s="2138"/>
      <c r="AG1" s="2138"/>
    </row>
    <row r="2" spans="1:40" ht="15">
      <c r="A2" s="1602"/>
      <c r="B2" s="2138"/>
      <c r="C2" s="2138"/>
      <c r="D2" s="2138"/>
      <c r="E2" s="2138"/>
      <c r="F2" s="2138"/>
      <c r="G2" s="2138"/>
      <c r="H2" s="2138"/>
      <c r="I2" s="2138"/>
      <c r="J2" s="2138"/>
      <c r="K2" s="2138"/>
      <c r="L2" s="2138"/>
      <c r="M2" s="2138"/>
      <c r="N2" s="2138"/>
      <c r="O2" s="2138"/>
      <c r="P2" s="2138"/>
      <c r="Q2" s="2138"/>
      <c r="R2" s="2138"/>
      <c r="S2" s="2138"/>
      <c r="T2" s="2138"/>
      <c r="U2" s="2138"/>
      <c r="V2" s="2138"/>
      <c r="W2" s="2138"/>
      <c r="X2" s="2138"/>
      <c r="Y2" s="2138"/>
      <c r="Z2" s="2138"/>
      <c r="AA2" s="2138"/>
      <c r="AB2" s="2138"/>
      <c r="AC2" s="2138"/>
      <c r="AD2" s="2138"/>
      <c r="AE2" s="2138"/>
      <c r="AF2" s="2138"/>
      <c r="AG2" s="2138"/>
    </row>
    <row r="3" spans="1:40" ht="24" customHeight="1">
      <c r="A3" s="1439" t="s">
        <v>0</v>
      </c>
      <c r="B3" s="835"/>
      <c r="C3" s="835"/>
      <c r="D3" s="836"/>
      <c r="E3" s="837"/>
      <c r="F3" s="836"/>
      <c r="G3" s="837"/>
      <c r="H3" s="836"/>
      <c r="I3" s="837"/>
      <c r="K3" s="835"/>
      <c r="L3" s="713"/>
      <c r="M3" s="835"/>
      <c r="N3" s="836"/>
      <c r="O3" s="837"/>
      <c r="P3" s="836"/>
      <c r="Q3" s="837"/>
      <c r="R3" s="836"/>
      <c r="S3" s="837"/>
      <c r="T3" s="836"/>
      <c r="U3" s="837"/>
      <c r="V3" s="836"/>
      <c r="W3" s="837"/>
      <c r="X3" s="836"/>
      <c r="Y3" s="837"/>
      <c r="Z3" s="1377" t="s">
        <v>636</v>
      </c>
      <c r="AA3" s="835"/>
      <c r="AC3" s="835"/>
      <c r="AE3" s="835"/>
    </row>
    <row r="4" spans="1:40" ht="16.5">
      <c r="A4" s="1439" t="s">
        <v>1354</v>
      </c>
      <c r="B4" s="2139"/>
      <c r="C4" s="2139"/>
      <c r="D4" s="839"/>
      <c r="E4" s="837"/>
      <c r="F4" s="2139"/>
      <c r="G4" s="837"/>
      <c r="H4" s="2139"/>
      <c r="I4" s="837"/>
      <c r="J4" s="2139"/>
      <c r="K4" s="2139"/>
      <c r="L4" s="2139"/>
      <c r="M4" s="840"/>
      <c r="N4" s="2139"/>
      <c r="O4" s="837"/>
      <c r="P4" s="2139"/>
      <c r="Q4" s="837"/>
      <c r="R4" s="2139"/>
      <c r="S4" s="837"/>
      <c r="T4" s="2139"/>
      <c r="U4" s="837"/>
      <c r="V4" s="2139"/>
      <c r="W4" s="837"/>
      <c r="X4" s="2139"/>
      <c r="Y4" s="837"/>
      <c r="Z4" s="2140"/>
      <c r="AA4" s="841"/>
      <c r="AC4" s="835"/>
    </row>
    <row r="5" spans="1:40" ht="16.5">
      <c r="A5" s="1440" t="s">
        <v>1287</v>
      </c>
      <c r="B5" s="2139"/>
      <c r="C5" s="2139"/>
      <c r="D5" s="2139"/>
      <c r="E5" s="837"/>
      <c r="F5" s="2139"/>
      <c r="G5" s="837"/>
      <c r="H5" s="2139"/>
      <c r="I5" s="837"/>
      <c r="J5" s="2139"/>
      <c r="K5" s="2139"/>
      <c r="L5" s="2139"/>
      <c r="M5" s="840"/>
      <c r="N5" s="2139"/>
      <c r="O5" s="837"/>
      <c r="P5" s="2139"/>
      <c r="Q5" s="837"/>
      <c r="R5" s="2139"/>
      <c r="S5" s="837"/>
      <c r="T5" s="2139"/>
      <c r="U5" s="837"/>
      <c r="V5" s="2139"/>
      <c r="W5" s="837"/>
      <c r="X5" s="2139"/>
      <c r="Y5" s="837"/>
      <c r="Z5" s="2140"/>
    </row>
    <row r="6" spans="1:40" ht="18" customHeight="1">
      <c r="A6" s="842" t="str">
        <f>'Cashflow Governmental'!A6</f>
        <v>FISCAL YEAR 2018-2019</v>
      </c>
      <c r="B6" s="2139"/>
      <c r="C6" s="2139"/>
      <c r="D6" s="844"/>
      <c r="E6" s="837"/>
      <c r="F6" s="2139"/>
      <c r="G6" s="837"/>
      <c r="H6" s="2139"/>
      <c r="I6" s="837"/>
      <c r="J6" s="2139"/>
      <c r="K6" s="2139"/>
      <c r="L6" s="2139"/>
      <c r="M6" s="840"/>
      <c r="N6" s="2139"/>
      <c r="O6" s="837"/>
      <c r="P6" s="2139"/>
      <c r="Q6" s="837"/>
      <c r="R6" s="2139"/>
      <c r="S6" s="837"/>
      <c r="T6" s="2139"/>
      <c r="U6" s="837"/>
      <c r="V6" s="2139"/>
      <c r="W6" s="837"/>
      <c r="X6" s="2139"/>
      <c r="Y6" s="837"/>
      <c r="Z6" s="2140"/>
    </row>
    <row r="7" spans="1:40" ht="15" customHeight="1">
      <c r="A7" s="843"/>
      <c r="B7" s="2139"/>
      <c r="C7" s="2139"/>
      <c r="D7" s="2139"/>
      <c r="E7" s="837"/>
      <c r="F7" s="2139"/>
      <c r="G7" s="837"/>
      <c r="H7" s="2139"/>
      <c r="I7" s="837"/>
      <c r="J7" s="2139"/>
      <c r="K7" s="2139"/>
      <c r="L7" s="2139"/>
      <c r="M7" s="840"/>
      <c r="N7" s="2139"/>
      <c r="O7" s="837"/>
      <c r="P7" s="2139"/>
      <c r="Q7" s="837"/>
      <c r="R7" s="2141"/>
      <c r="S7" s="837"/>
      <c r="T7" s="2141"/>
      <c r="U7" s="837"/>
      <c r="V7" s="2141"/>
      <c r="W7" s="837"/>
      <c r="X7" s="2141"/>
      <c r="Y7" s="837"/>
      <c r="Z7" s="2140"/>
    </row>
    <row r="8" spans="1:40" ht="15.75">
      <c r="A8" s="834"/>
      <c r="B8" s="2139"/>
      <c r="C8" s="2139"/>
      <c r="D8" s="2139"/>
      <c r="E8" s="837"/>
      <c r="F8" s="2139"/>
      <c r="G8" s="837"/>
      <c r="H8" s="2139"/>
      <c r="I8" s="837"/>
      <c r="J8" s="2139"/>
      <c r="K8" s="2139"/>
      <c r="L8" s="2139"/>
      <c r="M8" s="837"/>
      <c r="N8" s="2139"/>
      <c r="O8" s="837"/>
      <c r="P8" s="2139"/>
      <c r="Q8" s="837"/>
      <c r="R8" s="2139"/>
      <c r="S8" s="837"/>
      <c r="T8" s="2139"/>
      <c r="U8" s="837"/>
      <c r="V8" s="2139"/>
      <c r="W8" s="837"/>
      <c r="X8" s="2139"/>
      <c r="Y8" s="837"/>
      <c r="Z8" s="845"/>
      <c r="AA8" s="846"/>
    </row>
    <row r="9" spans="1:40" ht="15" customHeight="1">
      <c r="A9" s="2142"/>
      <c r="B9" s="1564" t="str">
        <f>'Cashflow Governmental'!C13</f>
        <v>2018</v>
      </c>
      <c r="C9" s="847"/>
      <c r="D9" s="847"/>
      <c r="E9" s="840"/>
      <c r="F9" s="847"/>
      <c r="G9" s="840"/>
      <c r="H9" s="847"/>
      <c r="I9" s="840"/>
      <c r="J9" s="847"/>
      <c r="K9" s="847"/>
      <c r="L9" s="848"/>
      <c r="M9" s="840"/>
      <c r="N9" s="848"/>
      <c r="O9" s="840"/>
      <c r="P9" s="848"/>
      <c r="Q9" s="840"/>
      <c r="R9" s="848"/>
      <c r="S9" s="840"/>
      <c r="T9" s="1564" t="str">
        <f>'Cashflow Governmental'!U13</f>
        <v>2019</v>
      </c>
      <c r="U9" s="840"/>
      <c r="V9" s="848"/>
      <c r="W9" s="840"/>
      <c r="X9" s="848"/>
      <c r="Y9" s="840"/>
      <c r="Z9" s="849" t="s">
        <v>1455</v>
      </c>
      <c r="AA9" s="849"/>
    </row>
    <row r="10" spans="1:40" ht="15" customHeight="1">
      <c r="A10" s="2142"/>
      <c r="B10" s="850" t="s">
        <v>126</v>
      </c>
      <c r="C10" s="851"/>
      <c r="D10" s="848" t="s">
        <v>127</v>
      </c>
      <c r="E10" s="840"/>
      <c r="F10" s="848" t="s">
        <v>128</v>
      </c>
      <c r="G10" s="840"/>
      <c r="H10" s="848" t="s">
        <v>129</v>
      </c>
      <c r="I10" s="840"/>
      <c r="J10" s="848" t="s">
        <v>130</v>
      </c>
      <c r="K10" s="852"/>
      <c r="L10" s="848" t="s">
        <v>145</v>
      </c>
      <c r="M10" s="840"/>
      <c r="N10" s="848" t="s">
        <v>146</v>
      </c>
      <c r="O10" s="840"/>
      <c r="P10" s="848" t="s">
        <v>133</v>
      </c>
      <c r="Q10" s="840"/>
      <c r="R10" s="848" t="s">
        <v>134</v>
      </c>
      <c r="S10" s="840"/>
      <c r="T10" s="848" t="s">
        <v>135</v>
      </c>
      <c r="U10" s="840"/>
      <c r="V10" s="848" t="s">
        <v>136</v>
      </c>
      <c r="W10" s="840"/>
      <c r="X10" s="848" t="s">
        <v>188</v>
      </c>
      <c r="Y10" s="840"/>
      <c r="Z10" s="853" t="s">
        <v>1456</v>
      </c>
      <c r="AA10" s="853"/>
    </row>
    <row r="11" spans="1:40" ht="15" customHeight="1">
      <c r="A11" s="2142"/>
      <c r="B11" s="2609" t="s">
        <v>15</v>
      </c>
      <c r="C11" s="2143"/>
      <c r="D11" s="2609" t="s">
        <v>15</v>
      </c>
      <c r="E11" s="2144"/>
      <c r="F11" s="2609" t="s">
        <v>15</v>
      </c>
      <c r="G11" s="2144"/>
      <c r="H11" s="2609" t="s">
        <v>15</v>
      </c>
      <c r="I11" s="2144"/>
      <c r="J11" s="2609" t="s">
        <v>15</v>
      </c>
      <c r="K11" s="852"/>
      <c r="L11" s="2609" t="s">
        <v>15</v>
      </c>
      <c r="M11" s="2144"/>
      <c r="N11" s="2609" t="s">
        <v>15</v>
      </c>
      <c r="O11" s="2144"/>
      <c r="P11" s="2609" t="s">
        <v>15</v>
      </c>
      <c r="Q11" s="2144"/>
      <c r="R11" s="2609" t="s">
        <v>15</v>
      </c>
      <c r="S11" s="2144"/>
      <c r="T11" s="2609" t="s">
        <v>15</v>
      </c>
      <c r="U11" s="2144"/>
      <c r="V11" s="2609" t="s">
        <v>15</v>
      </c>
      <c r="W11" s="2144"/>
      <c r="X11" s="2609" t="s">
        <v>15</v>
      </c>
      <c r="Y11" s="2144"/>
      <c r="Z11" s="2608" t="s">
        <v>15</v>
      </c>
      <c r="AB11" s="854"/>
      <c r="AC11" s="854"/>
      <c r="AD11" s="854"/>
      <c r="AE11" s="854"/>
      <c r="AF11" s="854"/>
      <c r="AG11" s="854"/>
      <c r="AH11" s="854"/>
      <c r="AI11" s="854"/>
      <c r="AJ11" s="854"/>
      <c r="AK11" s="854"/>
      <c r="AL11" s="854"/>
      <c r="AM11" s="854"/>
      <c r="AN11" s="854"/>
    </row>
    <row r="12" spans="1:40" s="859" customFormat="1" ht="15" customHeight="1">
      <c r="A12" s="1441" t="s">
        <v>479</v>
      </c>
      <c r="B12" s="868">
        <v>61655957</v>
      </c>
      <c r="C12" s="856"/>
      <c r="D12" s="855"/>
      <c r="E12" s="2145"/>
      <c r="F12" s="855"/>
      <c r="G12" s="2145"/>
      <c r="H12" s="855"/>
      <c r="I12" s="2145"/>
      <c r="J12" s="855"/>
      <c r="K12" s="857"/>
      <c r="L12" s="855"/>
      <c r="M12" s="858"/>
      <c r="N12" s="855"/>
      <c r="O12" s="855"/>
      <c r="P12" s="855"/>
      <c r="Q12" s="855"/>
      <c r="R12" s="855"/>
      <c r="S12" s="855"/>
      <c r="T12" s="855"/>
      <c r="U12" s="855"/>
      <c r="V12" s="855"/>
      <c r="W12" s="855"/>
      <c r="X12" s="855"/>
      <c r="Y12" s="855"/>
      <c r="Z12" s="855">
        <f>+B12</f>
        <v>61655957</v>
      </c>
    </row>
    <row r="13" spans="1:40" ht="15" customHeight="1">
      <c r="A13" s="2146"/>
      <c r="B13" s="2147"/>
      <c r="C13" s="2148"/>
      <c r="D13" s="2147"/>
      <c r="E13" s="2147"/>
      <c r="F13" s="2147"/>
      <c r="G13" s="2147"/>
      <c r="H13" s="2147"/>
      <c r="I13" s="2147"/>
      <c r="J13" s="2147"/>
      <c r="K13" s="852"/>
      <c r="L13" s="2147"/>
      <c r="M13" s="2147"/>
      <c r="N13" s="2147"/>
      <c r="O13" s="2147"/>
      <c r="P13" s="2147"/>
      <c r="Q13" s="2147"/>
      <c r="R13" s="2147"/>
      <c r="S13" s="2147"/>
      <c r="T13" s="2147"/>
      <c r="U13" s="2147"/>
      <c r="V13" s="2147"/>
      <c r="W13" s="2147"/>
      <c r="X13" s="2147"/>
      <c r="Y13" s="2147"/>
      <c r="Z13" s="2149"/>
    </row>
    <row r="14" spans="1:40" ht="15" customHeight="1">
      <c r="A14" s="860" t="s">
        <v>14</v>
      </c>
      <c r="B14" s="2147"/>
      <c r="C14" s="2148"/>
      <c r="D14" s="2147"/>
      <c r="E14" s="2147"/>
      <c r="F14" s="2147"/>
      <c r="G14" s="2147"/>
      <c r="H14" s="2147"/>
      <c r="I14" s="2147"/>
      <c r="J14" s="2147"/>
      <c r="K14" s="2147"/>
      <c r="L14" s="2147"/>
      <c r="M14" s="2147"/>
      <c r="N14" s="2147"/>
      <c r="O14" s="2147"/>
      <c r="P14" s="2147"/>
      <c r="Q14" s="2147"/>
      <c r="R14" s="2147"/>
      <c r="S14" s="2147"/>
      <c r="T14" s="2147"/>
      <c r="U14" s="2147"/>
      <c r="V14" s="2147"/>
      <c r="W14" s="2147"/>
      <c r="X14" s="2147"/>
      <c r="Y14" s="2147"/>
      <c r="Z14" s="2149"/>
      <c r="AC14" s="3112"/>
    </row>
    <row r="15" spans="1:40" ht="15" customHeight="1">
      <c r="A15" s="1442" t="s">
        <v>1353</v>
      </c>
      <c r="B15" s="2155">
        <v>100000000</v>
      </c>
      <c r="C15" s="2156"/>
      <c r="D15" s="2155"/>
      <c r="E15" s="2155"/>
      <c r="F15" s="2155"/>
      <c r="G15" s="2150"/>
      <c r="H15" s="2155"/>
      <c r="I15" s="2150"/>
      <c r="J15" s="3112"/>
      <c r="K15" s="2150"/>
      <c r="L15" s="2155"/>
      <c r="M15" s="2147"/>
      <c r="N15" s="2155"/>
      <c r="O15" s="2150"/>
      <c r="P15" s="2155"/>
      <c r="Q15" s="2150"/>
      <c r="R15" s="2155"/>
      <c r="S15" s="2150"/>
      <c r="T15" s="2155"/>
      <c r="U15" s="2150"/>
      <c r="V15" s="2155"/>
      <c r="W15" s="2150"/>
      <c r="X15" s="2155"/>
      <c r="Y15" s="2150"/>
      <c r="Z15" s="2152">
        <f>SUM(B15:X15)</f>
        <v>100000000</v>
      </c>
    </row>
    <row r="16" spans="1:40" s="859" customFormat="1" ht="22.5" customHeight="1">
      <c r="A16" s="860" t="s">
        <v>152</v>
      </c>
      <c r="B16" s="2607">
        <f>ROUND(SUM(B15:B15),0)</f>
        <v>100000000</v>
      </c>
      <c r="C16" s="861"/>
      <c r="D16" s="2607">
        <f>ROUND(SUM(D15:D15),0)</f>
        <v>0</v>
      </c>
      <c r="E16" s="862"/>
      <c r="F16" s="2607">
        <f>ROUND(SUM(F15:F15),0)</f>
        <v>0</v>
      </c>
      <c r="G16" s="862"/>
      <c r="H16" s="2607">
        <f>ROUND(SUM(H15:H15),0)</f>
        <v>0</v>
      </c>
      <c r="I16" s="862"/>
      <c r="J16" s="2607">
        <f>ROUND(SUM(J15:J15),0)</f>
        <v>0</v>
      </c>
      <c r="K16" s="864"/>
      <c r="L16" s="2607">
        <f>ROUND(SUM(L15:L15),0)</f>
        <v>0</v>
      </c>
      <c r="M16" s="858"/>
      <c r="N16" s="2607">
        <f>ROUND(SUM(N15:N15),0)</f>
        <v>0</v>
      </c>
      <c r="O16" s="862"/>
      <c r="P16" s="2607">
        <f>ROUND(SUM(P15:P15),0)</f>
        <v>0</v>
      </c>
      <c r="Q16" s="862"/>
      <c r="R16" s="2607">
        <f>ROUND(SUM(R15:R15),0)</f>
        <v>0</v>
      </c>
      <c r="S16" s="862"/>
      <c r="T16" s="2607">
        <f>ROUND(SUM(T15:T15),0)</f>
        <v>0</v>
      </c>
      <c r="U16" s="862"/>
      <c r="V16" s="2607">
        <f>ROUND(SUM(V15:V15),0)</f>
        <v>0</v>
      </c>
      <c r="W16" s="862"/>
      <c r="X16" s="2607">
        <f>ROUND(SUM(X15:X15),0)</f>
        <v>0</v>
      </c>
      <c r="Y16" s="862"/>
      <c r="Z16" s="2607">
        <f>ROUND(SUM(Z15:Z15),0)</f>
        <v>100000000</v>
      </c>
      <c r="AB16" s="715"/>
    </row>
    <row r="17" spans="1:26" ht="15" customHeight="1">
      <c r="A17" s="2146"/>
      <c r="B17" s="2150"/>
      <c r="C17" s="2151"/>
      <c r="D17" s="2150"/>
      <c r="E17" s="2150"/>
      <c r="F17" s="2150"/>
      <c r="G17" s="2150"/>
      <c r="H17" s="2150"/>
      <c r="I17" s="2150"/>
      <c r="J17" s="2150"/>
      <c r="K17" s="2150"/>
      <c r="L17" s="2150"/>
      <c r="M17" s="2147"/>
      <c r="N17" s="2150"/>
      <c r="O17" s="2150"/>
      <c r="P17" s="2150"/>
      <c r="Q17" s="2150"/>
      <c r="R17" s="2150"/>
      <c r="S17" s="2150"/>
      <c r="T17" s="2150"/>
      <c r="U17" s="2150"/>
      <c r="V17" s="2150"/>
      <c r="W17" s="2150"/>
      <c r="X17" s="2150"/>
      <c r="Y17" s="2150"/>
      <c r="Z17" s="2154"/>
    </row>
    <row r="18" spans="1:26" ht="15" customHeight="1">
      <c r="A18" s="860" t="s">
        <v>23</v>
      </c>
      <c r="B18" s="2150"/>
      <c r="C18" s="2151"/>
      <c r="D18" s="2150"/>
      <c r="E18" s="2150"/>
      <c r="F18" s="2150"/>
      <c r="G18" s="2150"/>
      <c r="H18" s="2150"/>
      <c r="I18" s="2150"/>
      <c r="J18" s="2150"/>
      <c r="K18" s="2150"/>
      <c r="L18" s="2150"/>
      <c r="M18" s="2147"/>
      <c r="N18" s="2150"/>
      <c r="O18" s="2150"/>
      <c r="P18" s="2150"/>
      <c r="Q18" s="2150"/>
      <c r="R18" s="2150"/>
      <c r="S18" s="2150"/>
      <c r="T18" s="2150"/>
      <c r="U18" s="2150"/>
      <c r="V18" s="2150"/>
      <c r="W18" s="2150"/>
      <c r="X18" s="2150"/>
      <c r="Y18" s="2150"/>
      <c r="Z18" s="2154"/>
    </row>
    <row r="19" spans="1:26" ht="15" customHeight="1">
      <c r="A19" s="1442" t="s">
        <v>1412</v>
      </c>
      <c r="B19" s="2150">
        <v>2000000</v>
      </c>
      <c r="C19" s="2151"/>
      <c r="D19" s="2150"/>
      <c r="E19" s="2150"/>
      <c r="F19" s="2150"/>
      <c r="G19" s="2150"/>
      <c r="H19" s="2150"/>
      <c r="I19" s="2150"/>
      <c r="J19" s="2150"/>
      <c r="K19" s="2150"/>
      <c r="L19" s="2150"/>
      <c r="M19" s="2147"/>
      <c r="N19" s="2150"/>
      <c r="O19" s="2150"/>
      <c r="P19" s="2150"/>
      <c r="Q19" s="2150"/>
      <c r="R19" s="2150"/>
      <c r="S19" s="2150"/>
      <c r="T19" s="2150"/>
      <c r="U19" s="2150"/>
      <c r="V19" s="2150"/>
      <c r="W19" s="2150"/>
      <c r="X19" s="2150"/>
      <c r="Y19" s="2150"/>
      <c r="Z19" s="2152">
        <f>ROUND(SUM(B19:X19),0)</f>
        <v>2000000</v>
      </c>
    </row>
    <row r="20" spans="1:26" ht="15" customHeight="1">
      <c r="A20" s="1442" t="s">
        <v>1352</v>
      </c>
      <c r="B20" s="2155">
        <v>6122914</v>
      </c>
      <c r="C20" s="2156"/>
      <c r="D20" s="2155"/>
      <c r="E20" s="2155"/>
      <c r="F20" s="2155"/>
      <c r="G20" s="2155"/>
      <c r="H20" s="2155"/>
      <c r="I20" s="2155"/>
      <c r="J20" s="2155"/>
      <c r="K20" s="2155"/>
      <c r="L20" s="2155"/>
      <c r="M20" s="2157"/>
      <c r="N20" s="2155"/>
      <c r="O20" s="2155"/>
      <c r="P20" s="2155"/>
      <c r="Q20" s="2155"/>
      <c r="R20" s="2155"/>
      <c r="S20" s="2155"/>
      <c r="T20" s="2155"/>
      <c r="U20" s="2155"/>
      <c r="V20" s="2155"/>
      <c r="W20" s="2155"/>
      <c r="X20" s="2155"/>
      <c r="Y20" s="2155"/>
      <c r="Z20" s="2152">
        <f t="shared" ref="Z20:Z35" si="0">ROUND(SUM(B20:X20),0)</f>
        <v>6122914</v>
      </c>
    </row>
    <row r="21" spans="1:26" ht="15" customHeight="1">
      <c r="A21" s="1442" t="s">
        <v>1448</v>
      </c>
      <c r="B21" s="2155">
        <v>513141</v>
      </c>
      <c r="C21" s="2156"/>
      <c r="D21" s="2155"/>
      <c r="E21" s="2155"/>
      <c r="F21" s="2155"/>
      <c r="G21" s="2155"/>
      <c r="H21" s="2155"/>
      <c r="I21" s="2155"/>
      <c r="J21" s="2155"/>
      <c r="K21" s="2155"/>
      <c r="L21" s="2155"/>
      <c r="M21" s="2157"/>
      <c r="N21" s="2155"/>
      <c r="O21" s="2155"/>
      <c r="P21" s="2155"/>
      <c r="Q21" s="2155"/>
      <c r="R21" s="2155"/>
      <c r="S21" s="2155"/>
      <c r="T21" s="2155"/>
      <c r="U21" s="2155"/>
      <c r="V21" s="2155"/>
      <c r="W21" s="2155"/>
      <c r="X21" s="2155"/>
      <c r="Y21" s="2155"/>
      <c r="Z21" s="2152">
        <f t="shared" si="0"/>
        <v>513141</v>
      </c>
    </row>
    <row r="22" spans="1:26" ht="15" customHeight="1">
      <c r="A22" s="1442" t="s">
        <v>1365</v>
      </c>
      <c r="B22" s="2155">
        <v>2834953</v>
      </c>
      <c r="C22" s="2156"/>
      <c r="D22" s="2155"/>
      <c r="E22" s="2155"/>
      <c r="F22" s="2155"/>
      <c r="G22" s="2155"/>
      <c r="H22" s="2155"/>
      <c r="I22" s="2155"/>
      <c r="J22" s="2155"/>
      <c r="K22" s="2155"/>
      <c r="L22" s="2155"/>
      <c r="M22" s="2157"/>
      <c r="N22" s="2155"/>
      <c r="O22" s="2155"/>
      <c r="P22" s="2155"/>
      <c r="Q22" s="2155"/>
      <c r="R22" s="2155"/>
      <c r="S22" s="2155"/>
      <c r="T22" s="2155"/>
      <c r="U22" s="2155"/>
      <c r="V22" s="2155"/>
      <c r="W22" s="2155"/>
      <c r="X22" s="2155"/>
      <c r="Y22" s="2155"/>
      <c r="Z22" s="2152">
        <f t="shared" si="0"/>
        <v>2834953</v>
      </c>
    </row>
    <row r="23" spans="1:26" ht="15" customHeight="1">
      <c r="A23" s="1442" t="s">
        <v>1421</v>
      </c>
      <c r="B23" s="2155">
        <v>531642</v>
      </c>
      <c r="C23" s="2156"/>
      <c r="D23" s="2155"/>
      <c r="E23" s="2155"/>
      <c r="F23" s="2155"/>
      <c r="G23" s="2155"/>
      <c r="H23" s="2155"/>
      <c r="I23" s="2155"/>
      <c r="J23" s="2155"/>
      <c r="K23" s="2155"/>
      <c r="L23" s="2155"/>
      <c r="M23" s="2157"/>
      <c r="N23" s="2155"/>
      <c r="O23" s="2155"/>
      <c r="P23" s="2155"/>
      <c r="Q23" s="2155"/>
      <c r="R23" s="2155"/>
      <c r="S23" s="2155"/>
      <c r="T23" s="2155"/>
      <c r="U23" s="2155"/>
      <c r="V23" s="2155"/>
      <c r="W23" s="2155"/>
      <c r="X23" s="2155"/>
      <c r="Y23" s="2155"/>
      <c r="Z23" s="2152">
        <f t="shared" si="0"/>
        <v>531642</v>
      </c>
    </row>
    <row r="24" spans="1:26" ht="15" customHeight="1">
      <c r="A24" s="1442" t="s">
        <v>1436</v>
      </c>
      <c r="B24" s="2155">
        <v>0</v>
      </c>
      <c r="C24" s="2156"/>
      <c r="D24" s="2155"/>
      <c r="E24" s="2155"/>
      <c r="F24" s="2155"/>
      <c r="G24" s="2155"/>
      <c r="H24" s="2155"/>
      <c r="I24" s="2155"/>
      <c r="J24" s="2155"/>
      <c r="K24" s="2155"/>
      <c r="L24" s="2155"/>
      <c r="M24" s="2157"/>
      <c r="N24" s="2155"/>
      <c r="O24" s="2155"/>
      <c r="P24" s="2155"/>
      <c r="Q24" s="2155"/>
      <c r="R24" s="2155"/>
      <c r="S24" s="2155"/>
      <c r="T24" s="2155"/>
      <c r="U24" s="2155"/>
      <c r="V24" s="2155"/>
      <c r="W24" s="2155"/>
      <c r="X24" s="2155"/>
      <c r="Y24" s="2155"/>
      <c r="Z24" s="2152">
        <f>ROUND(SUM(B24:X24),0)</f>
        <v>0</v>
      </c>
    </row>
    <row r="25" spans="1:26" ht="15" customHeight="1">
      <c r="A25" s="1442" t="s">
        <v>1351</v>
      </c>
      <c r="B25" s="2155">
        <v>15989</v>
      </c>
      <c r="C25" s="2156"/>
      <c r="D25" s="2155"/>
      <c r="E25" s="2155"/>
      <c r="F25" s="2155"/>
      <c r="G25" s="2155"/>
      <c r="H25" s="2155"/>
      <c r="I25" s="2155"/>
      <c r="J25" s="2155"/>
      <c r="K25" s="2155"/>
      <c r="L25" s="2155"/>
      <c r="M25" s="2157"/>
      <c r="N25" s="2155"/>
      <c r="O25" s="2155"/>
      <c r="P25" s="2155"/>
      <c r="Q25" s="2155"/>
      <c r="R25" s="2155"/>
      <c r="S25" s="2155"/>
      <c r="T25" s="2155"/>
      <c r="U25" s="2155"/>
      <c r="V25" s="2155"/>
      <c r="W25" s="2155"/>
      <c r="X25" s="2155"/>
      <c r="Y25" s="2155"/>
      <c r="Z25" s="2152">
        <f t="shared" si="0"/>
        <v>15989</v>
      </c>
    </row>
    <row r="26" spans="1:26" ht="15" customHeight="1">
      <c r="A26" s="1442" t="s">
        <v>1437</v>
      </c>
      <c r="B26" s="2155">
        <v>0</v>
      </c>
      <c r="C26" s="2156"/>
      <c r="D26" s="2155"/>
      <c r="E26" s="2155"/>
      <c r="F26" s="2155"/>
      <c r="G26" s="2155"/>
      <c r="H26" s="2155"/>
      <c r="I26" s="2155"/>
      <c r="J26" s="2155"/>
      <c r="K26" s="2155"/>
      <c r="L26" s="2155"/>
      <c r="M26" s="2157"/>
      <c r="N26" s="2155"/>
      <c r="O26" s="2155"/>
      <c r="P26" s="2155"/>
      <c r="Q26" s="2155"/>
      <c r="R26" s="2155"/>
      <c r="S26" s="2155"/>
      <c r="T26" s="2155"/>
      <c r="U26" s="2155"/>
      <c r="V26" s="2155"/>
      <c r="W26" s="2155"/>
      <c r="X26" s="2155"/>
      <c r="Y26" s="2155"/>
      <c r="Z26" s="2152">
        <f t="shared" si="0"/>
        <v>0</v>
      </c>
    </row>
    <row r="27" spans="1:26" ht="15" customHeight="1">
      <c r="A27" s="1442" t="s">
        <v>1449</v>
      </c>
      <c r="B27" s="2155">
        <v>0</v>
      </c>
      <c r="C27" s="2156"/>
      <c r="D27" s="2155"/>
      <c r="E27" s="2155"/>
      <c r="F27" s="2155"/>
      <c r="G27" s="2155"/>
      <c r="H27" s="2155"/>
      <c r="I27" s="2155"/>
      <c r="J27" s="2155"/>
      <c r="K27" s="2155"/>
      <c r="L27" s="2155"/>
      <c r="M27" s="2157"/>
      <c r="N27" s="2155"/>
      <c r="O27" s="2155"/>
      <c r="P27" s="2155"/>
      <c r="Q27" s="2155"/>
      <c r="R27" s="2155"/>
      <c r="S27" s="2155"/>
      <c r="T27" s="2155"/>
      <c r="U27" s="2155"/>
      <c r="V27" s="2155"/>
      <c r="W27" s="2155"/>
      <c r="X27" s="2155"/>
      <c r="Y27" s="2155"/>
      <c r="Z27" s="2152">
        <f t="shared" si="0"/>
        <v>0</v>
      </c>
    </row>
    <row r="28" spans="1:26" ht="15" customHeight="1">
      <c r="A28" s="1442" t="s">
        <v>1442</v>
      </c>
      <c r="B28" s="2155">
        <v>372477</v>
      </c>
      <c r="C28" s="2156"/>
      <c r="D28" s="2155"/>
      <c r="E28" s="2155"/>
      <c r="F28" s="2155"/>
      <c r="G28" s="2155"/>
      <c r="H28" s="2155"/>
      <c r="I28" s="2155"/>
      <c r="J28" s="2155"/>
      <c r="K28" s="2155"/>
      <c r="L28" s="2155"/>
      <c r="M28" s="2157"/>
      <c r="N28" s="2155"/>
      <c r="O28" s="2155"/>
      <c r="P28" s="2155"/>
      <c r="Q28" s="2155"/>
      <c r="R28" s="2155"/>
      <c r="S28" s="2155"/>
      <c r="T28" s="2155"/>
      <c r="U28" s="2155"/>
      <c r="V28" s="2155"/>
      <c r="W28" s="2155"/>
      <c r="X28" s="2155"/>
      <c r="Y28" s="2155"/>
      <c r="Z28" s="2152">
        <f t="shared" si="0"/>
        <v>372477</v>
      </c>
    </row>
    <row r="29" spans="1:26" ht="15" customHeight="1">
      <c r="A29" s="1442" t="s">
        <v>1350</v>
      </c>
      <c r="B29" s="2155">
        <v>0</v>
      </c>
      <c r="C29" s="2156"/>
      <c r="D29" s="2155"/>
      <c r="E29" s="2155"/>
      <c r="F29" s="2155"/>
      <c r="G29" s="2155"/>
      <c r="H29" s="2155"/>
      <c r="I29" s="2155"/>
      <c r="J29" s="2155"/>
      <c r="K29" s="2155"/>
      <c r="L29" s="2155"/>
      <c r="M29" s="2157"/>
      <c r="N29" s="2155"/>
      <c r="O29" s="2155"/>
      <c r="P29" s="2155"/>
      <c r="Q29" s="2155"/>
      <c r="R29" s="2155"/>
      <c r="S29" s="2155"/>
      <c r="T29" s="2155"/>
      <c r="U29" s="2155"/>
      <c r="V29" s="2155"/>
      <c r="W29" s="2155"/>
      <c r="X29" s="2155"/>
      <c r="Y29" s="2155"/>
      <c r="Z29" s="2152">
        <f t="shared" si="0"/>
        <v>0</v>
      </c>
    </row>
    <row r="30" spans="1:26" ht="15" customHeight="1">
      <c r="A30" s="1442" t="s">
        <v>1389</v>
      </c>
      <c r="B30" s="2155">
        <v>3622682</v>
      </c>
      <c r="C30" s="2156"/>
      <c r="D30" s="2155"/>
      <c r="E30" s="2155"/>
      <c r="F30" s="2155"/>
      <c r="G30" s="2155"/>
      <c r="H30" s="2155"/>
      <c r="I30" s="2155"/>
      <c r="J30" s="2155"/>
      <c r="K30" s="2155"/>
      <c r="L30" s="2155"/>
      <c r="M30" s="2157"/>
      <c r="N30" s="2155"/>
      <c r="O30" s="2155"/>
      <c r="P30" s="2155"/>
      <c r="Q30" s="2155"/>
      <c r="R30" s="2155"/>
      <c r="S30" s="2155"/>
      <c r="T30" s="2155"/>
      <c r="U30" s="2155"/>
      <c r="V30" s="2155"/>
      <c r="W30" s="2155"/>
      <c r="X30" s="2155"/>
      <c r="Y30" s="2155"/>
      <c r="Z30" s="2152">
        <f t="shared" si="0"/>
        <v>3622682</v>
      </c>
    </row>
    <row r="31" spans="1:26" ht="15" customHeight="1">
      <c r="A31" s="1442" t="s">
        <v>1349</v>
      </c>
      <c r="B31" s="2155">
        <v>134401</v>
      </c>
      <c r="C31" s="2156"/>
      <c r="D31" s="2155"/>
      <c r="E31" s="2155"/>
      <c r="F31" s="2155"/>
      <c r="G31" s="2155"/>
      <c r="H31" s="2155"/>
      <c r="I31" s="2155"/>
      <c r="J31" s="2155"/>
      <c r="K31" s="2155"/>
      <c r="L31" s="2155"/>
      <c r="M31" s="2157"/>
      <c r="N31" s="2155"/>
      <c r="O31" s="2155"/>
      <c r="P31" s="2155"/>
      <c r="Q31" s="2155"/>
      <c r="R31" s="2155"/>
      <c r="S31" s="2155"/>
      <c r="T31" s="2155"/>
      <c r="U31" s="2155"/>
      <c r="V31" s="2155"/>
      <c r="W31" s="2155"/>
      <c r="X31" s="2155"/>
      <c r="Y31" s="2155"/>
      <c r="Z31" s="2152">
        <f t="shared" si="0"/>
        <v>134401</v>
      </c>
    </row>
    <row r="32" spans="1:26" ht="15" customHeight="1">
      <c r="A32" s="1442" t="s">
        <v>1348</v>
      </c>
      <c r="B32" s="2155">
        <v>4291738</v>
      </c>
      <c r="C32" s="2156"/>
      <c r="D32" s="2155"/>
      <c r="E32" s="2155"/>
      <c r="F32" s="2155"/>
      <c r="G32" s="2155"/>
      <c r="H32" s="2155"/>
      <c r="I32" s="2155"/>
      <c r="J32" s="2155"/>
      <c r="K32" s="2155"/>
      <c r="L32" s="2155"/>
      <c r="M32" s="2157"/>
      <c r="N32" s="2155"/>
      <c r="O32" s="2155"/>
      <c r="P32" s="2155"/>
      <c r="Q32" s="2155"/>
      <c r="R32" s="2155"/>
      <c r="S32" s="2155"/>
      <c r="T32" s="2155"/>
      <c r="U32" s="2155"/>
      <c r="V32" s="2155"/>
      <c r="W32" s="2155"/>
      <c r="X32" s="2155"/>
      <c r="Y32" s="2155"/>
      <c r="Z32" s="2152">
        <f t="shared" si="0"/>
        <v>4291738</v>
      </c>
    </row>
    <row r="33" spans="1:28" ht="15" customHeight="1">
      <c r="A33" s="1442" t="s">
        <v>1347</v>
      </c>
      <c r="B33" s="2155">
        <v>4200</v>
      </c>
      <c r="C33" s="2156"/>
      <c r="D33" s="2155"/>
      <c r="E33" s="2155"/>
      <c r="F33" s="2155"/>
      <c r="G33" s="2155"/>
      <c r="H33" s="2155"/>
      <c r="I33" s="2155"/>
      <c r="J33" s="2155"/>
      <c r="K33" s="2155"/>
      <c r="L33" s="2155"/>
      <c r="M33" s="2157"/>
      <c r="N33" s="2155"/>
      <c r="O33" s="2155"/>
      <c r="P33" s="2155"/>
      <c r="Q33" s="2155"/>
      <c r="R33" s="2155"/>
      <c r="S33" s="2155"/>
      <c r="T33" s="2155"/>
      <c r="U33" s="2155"/>
      <c r="V33" s="2155"/>
      <c r="W33" s="2155"/>
      <c r="X33" s="2155"/>
      <c r="Y33" s="2155"/>
      <c r="Z33" s="2152">
        <f t="shared" si="0"/>
        <v>4200</v>
      </c>
    </row>
    <row r="34" spans="1:28" ht="15" customHeight="1">
      <c r="A34" s="1442" t="s">
        <v>1400</v>
      </c>
      <c r="B34" s="2155">
        <v>0</v>
      </c>
      <c r="C34" s="2156" t="s">
        <v>15</v>
      </c>
      <c r="D34" s="2155"/>
      <c r="E34" s="2155"/>
      <c r="F34" s="2155"/>
      <c r="G34" s="2155"/>
      <c r="H34" s="2155"/>
      <c r="I34" s="2155"/>
      <c r="J34" s="2155"/>
      <c r="K34" s="2155"/>
      <c r="L34" s="2155"/>
      <c r="M34" s="2157"/>
      <c r="N34" s="2155"/>
      <c r="O34" s="2155"/>
      <c r="P34" s="2155"/>
      <c r="Q34" s="2155"/>
      <c r="R34" s="2155"/>
      <c r="S34" s="2155"/>
      <c r="T34" s="2155"/>
      <c r="U34" s="2155"/>
      <c r="V34" s="2155"/>
      <c r="W34" s="2155"/>
      <c r="X34" s="2155"/>
      <c r="Y34" s="2155"/>
      <c r="Z34" s="2152">
        <f>ROUND(SUM(B34:X34),0)</f>
        <v>0</v>
      </c>
    </row>
    <row r="35" spans="1:28" ht="15" customHeight="1">
      <c r="A35" s="1442" t="s">
        <v>1366</v>
      </c>
      <c r="B35" s="2155">
        <v>5446136</v>
      </c>
      <c r="C35" s="2156"/>
      <c r="D35" s="2155"/>
      <c r="E35" s="2155"/>
      <c r="F35" s="2155"/>
      <c r="G35" s="2155"/>
      <c r="H35" s="2155"/>
      <c r="I35" s="2155"/>
      <c r="J35" s="2155"/>
      <c r="K35" s="2155"/>
      <c r="L35" s="2155"/>
      <c r="M35" s="2157"/>
      <c r="N35" s="2155"/>
      <c r="O35" s="2155"/>
      <c r="P35" s="2155"/>
      <c r="Q35" s="2155"/>
      <c r="R35" s="2155"/>
      <c r="S35" s="2155"/>
      <c r="T35" s="2155"/>
      <c r="U35" s="2155"/>
      <c r="V35" s="2155"/>
      <c r="W35" s="2155"/>
      <c r="X35" s="2155"/>
      <c r="Y35" s="2155"/>
      <c r="Z35" s="2152">
        <f t="shared" si="0"/>
        <v>5446136</v>
      </c>
    </row>
    <row r="36" spans="1:28" ht="22.5" customHeight="1">
      <c r="A36" s="865" t="s">
        <v>158</v>
      </c>
      <c r="B36" s="2606">
        <f>ROUND(SUM(B19:B35),0)</f>
        <v>25890273</v>
      </c>
      <c r="C36" s="2156"/>
      <c r="D36" s="2606">
        <f>ROUND(SUM(D19:D35),0)</f>
        <v>0</v>
      </c>
      <c r="E36" s="2155"/>
      <c r="F36" s="2606">
        <f>ROUND(SUM(F19:F35),0)</f>
        <v>0</v>
      </c>
      <c r="G36" s="2155"/>
      <c r="H36" s="2606">
        <f>ROUND(SUM(H19:H35),0)</f>
        <v>0</v>
      </c>
      <c r="I36" s="2155"/>
      <c r="J36" s="2606">
        <f>ROUND(SUM(J19:J35),0)</f>
        <v>0</v>
      </c>
      <c r="K36" s="2155"/>
      <c r="L36" s="2606">
        <f>ROUND(SUM(L19:L35),0)</f>
        <v>0</v>
      </c>
      <c r="M36" s="2157"/>
      <c r="N36" s="2606">
        <f>ROUND(SUM(N19:N35),0)</f>
        <v>0</v>
      </c>
      <c r="O36" s="2155"/>
      <c r="P36" s="2606">
        <f>ROUND(SUM(P19:P35),0)</f>
        <v>0</v>
      </c>
      <c r="Q36" s="2155"/>
      <c r="R36" s="2606">
        <f>ROUND(SUM(R19:R35),0)</f>
        <v>0</v>
      </c>
      <c r="S36" s="2155"/>
      <c r="T36" s="2606">
        <f>ROUND(SUM(T19:T35),0)</f>
        <v>0</v>
      </c>
      <c r="U36" s="2155"/>
      <c r="V36" s="2606">
        <f>ROUND(SUM(V19:V35),0)</f>
        <v>0</v>
      </c>
      <c r="W36" s="2155"/>
      <c r="X36" s="2606">
        <f>ROUND(SUM(X19:X35),0)</f>
        <v>0</v>
      </c>
      <c r="Y36" s="2155"/>
      <c r="Z36" s="2606">
        <f>ROUND(SUM(Z19:Z35),0)</f>
        <v>25890273</v>
      </c>
    </row>
    <row r="37" spans="1:28" ht="15" customHeight="1">
      <c r="A37" s="865"/>
      <c r="B37" s="2155"/>
      <c r="C37" s="2156"/>
      <c r="D37" s="2155"/>
      <c r="E37" s="2155"/>
      <c r="F37" s="2161"/>
      <c r="G37" s="2155"/>
      <c r="H37" s="2161"/>
      <c r="I37" s="2155"/>
      <c r="J37" s="2155"/>
      <c r="K37" s="2155"/>
      <c r="L37" s="2160"/>
      <c r="M37" s="2157"/>
      <c r="N37" s="2160"/>
      <c r="O37" s="2155"/>
      <c r="P37" s="2159"/>
      <c r="Q37" s="2155"/>
      <c r="R37" s="2161"/>
      <c r="S37" s="2155"/>
      <c r="T37" s="2161"/>
      <c r="U37" s="2155"/>
      <c r="V37" s="2156"/>
      <c r="W37" s="2155"/>
      <c r="X37" s="2161"/>
      <c r="Y37" s="2155"/>
      <c r="Z37" s="2152"/>
    </row>
    <row r="38" spans="1:28" ht="15" customHeight="1">
      <c r="A38" s="866" t="s">
        <v>494</v>
      </c>
      <c r="B38" s="2161"/>
      <c r="C38" s="2162"/>
      <c r="D38" s="2161"/>
      <c r="E38" s="2155"/>
      <c r="F38" s="2160"/>
      <c r="G38" s="2155"/>
      <c r="H38" s="2161"/>
      <c r="I38" s="2155"/>
      <c r="J38" s="2161"/>
      <c r="K38" s="2155"/>
      <c r="L38" s="2161"/>
      <c r="M38" s="2157"/>
      <c r="N38" s="2161"/>
      <c r="O38" s="2155"/>
      <c r="P38" s="2159"/>
      <c r="Q38" s="2155"/>
      <c r="R38" s="2161"/>
      <c r="S38" s="2155"/>
      <c r="T38" s="2161"/>
      <c r="U38" s="2155"/>
      <c r="V38" s="2160"/>
      <c r="W38" s="2155"/>
      <c r="X38" s="2160"/>
      <c r="Y38" s="2155"/>
      <c r="Z38" s="2152"/>
    </row>
    <row r="39" spans="1:28" ht="15" customHeight="1">
      <c r="A39" s="1442" t="s">
        <v>496</v>
      </c>
      <c r="B39" s="2155">
        <v>0</v>
      </c>
      <c r="C39" s="2162"/>
      <c r="D39" s="2155"/>
      <c r="E39" s="2155"/>
      <c r="F39" s="2155"/>
      <c r="G39" s="2155"/>
      <c r="H39" s="2155"/>
      <c r="I39" s="2155"/>
      <c r="J39" s="2155"/>
      <c r="K39" s="2155"/>
      <c r="L39" s="2155"/>
      <c r="M39" s="2157"/>
      <c r="N39" s="2155"/>
      <c r="O39" s="2155"/>
      <c r="P39" s="2155"/>
      <c r="Q39" s="2155"/>
      <c r="R39" s="2155"/>
      <c r="S39" s="2155"/>
      <c r="T39" s="2155"/>
      <c r="U39" s="2155"/>
      <c r="V39" s="2155"/>
      <c r="W39" s="2155"/>
      <c r="X39" s="2155"/>
      <c r="Y39" s="2155"/>
      <c r="Z39" s="2152">
        <v>0</v>
      </c>
    </row>
    <row r="40" spans="1:28" ht="22.5" customHeight="1">
      <c r="A40" s="860" t="s">
        <v>501</v>
      </c>
      <c r="B40" s="2605">
        <f>ROUND(SUM(B39:B39),0)</f>
        <v>0</v>
      </c>
      <c r="C40" s="2153"/>
      <c r="D40" s="2605">
        <f>ROUND(SUM(D39:D39),0)</f>
        <v>0</v>
      </c>
      <c r="E40" s="2150"/>
      <c r="F40" s="2605">
        <f>ROUND(SUM(F39:F39),0)</f>
        <v>0</v>
      </c>
      <c r="G40" s="2150"/>
      <c r="H40" s="2605">
        <f>ROUND(SUM(H39:H39),0)</f>
        <v>0</v>
      </c>
      <c r="I40" s="2150"/>
      <c r="J40" s="2605">
        <f>ROUND(SUM(J39:J39),0)</f>
        <v>0</v>
      </c>
      <c r="K40" s="2150"/>
      <c r="L40" s="2605">
        <f>ROUND(SUM(L39:L39),0)</f>
        <v>0</v>
      </c>
      <c r="M40" s="2147"/>
      <c r="N40" s="2605">
        <f>ROUND(SUM(N39:N39),0)</f>
        <v>0</v>
      </c>
      <c r="O40" s="2150"/>
      <c r="P40" s="2605">
        <f>ROUND(SUM(P39:P39),0)</f>
        <v>0</v>
      </c>
      <c r="Q40" s="2150"/>
      <c r="R40" s="2605">
        <f>ROUND(SUM(R39:R39),0)</f>
        <v>0</v>
      </c>
      <c r="S40" s="2150"/>
      <c r="T40" s="2605">
        <f>ROUND(SUM(T39:T39),0)</f>
        <v>0</v>
      </c>
      <c r="U40" s="2150"/>
      <c r="V40" s="2605">
        <f>ROUND(SUM(V39:V39),0)</f>
        <v>0</v>
      </c>
      <c r="W40" s="2150"/>
      <c r="X40" s="2605">
        <f>ROUND(SUM(X39:X39),0)</f>
        <v>0</v>
      </c>
      <c r="Y40" s="2150"/>
      <c r="Z40" s="2605">
        <f>ROUND(SUM(Z39:Z39),0)</f>
        <v>0</v>
      </c>
    </row>
    <row r="41" spans="1:28" ht="15" customHeight="1">
      <c r="B41" s="2603"/>
      <c r="C41" s="2153"/>
      <c r="D41" s="2603"/>
      <c r="E41" s="2150"/>
      <c r="F41" s="2602"/>
      <c r="G41" s="2150"/>
      <c r="H41" s="2603"/>
      <c r="I41" s="2150"/>
      <c r="J41" s="2603"/>
      <c r="K41" s="2150"/>
      <c r="L41" s="2603"/>
      <c r="M41" s="2147"/>
      <c r="N41" s="2603"/>
      <c r="O41" s="2150"/>
      <c r="P41" s="2604"/>
      <c r="Q41" s="2150"/>
      <c r="R41" s="2603"/>
      <c r="S41" s="2150"/>
      <c r="T41" s="2603"/>
      <c r="U41" s="2150"/>
      <c r="V41" s="2602"/>
      <c r="W41" s="2150"/>
      <c r="X41" s="2163"/>
      <c r="Y41" s="2150"/>
      <c r="Z41" s="2601"/>
    </row>
    <row r="42" spans="1:28" s="859" customFormat="1" ht="20.25" customHeight="1">
      <c r="A42" s="860" t="s">
        <v>502</v>
      </c>
      <c r="B42" s="2164">
        <f>ROUND(B36+B40,0)</f>
        <v>25890273</v>
      </c>
      <c r="C42" s="861"/>
      <c r="D42" s="2164">
        <f>ROUND(D36+D40,0)</f>
        <v>0</v>
      </c>
      <c r="E42" s="862"/>
      <c r="F42" s="2164">
        <f>ROUND(F36+F40,0)</f>
        <v>0</v>
      </c>
      <c r="G42" s="862"/>
      <c r="H42" s="2164">
        <f>ROUND(H36+H40,0)</f>
        <v>0</v>
      </c>
      <c r="I42" s="862"/>
      <c r="J42" s="2164">
        <f>ROUND(J36+J40,0)</f>
        <v>0</v>
      </c>
      <c r="K42" s="861"/>
      <c r="L42" s="2164">
        <f>ROUND(L36+L40,0)</f>
        <v>0</v>
      </c>
      <c r="M42" s="858"/>
      <c r="N42" s="2164">
        <f>ROUND(N36+N40,0)</f>
        <v>0</v>
      </c>
      <c r="O42" s="862"/>
      <c r="P42" s="2164">
        <f>ROUND(P36+P40,0)</f>
        <v>0</v>
      </c>
      <c r="Q42" s="862"/>
      <c r="R42" s="2164">
        <f>ROUND(R36+R40,0)</f>
        <v>0</v>
      </c>
      <c r="S42" s="862"/>
      <c r="T42" s="2164">
        <f>ROUND(T36+T40,0)</f>
        <v>0</v>
      </c>
      <c r="U42" s="862"/>
      <c r="V42" s="2164">
        <f>ROUND(V36+V40,0)</f>
        <v>0</v>
      </c>
      <c r="W42" s="862"/>
      <c r="X42" s="2164">
        <f>ROUND(X36+X40,0)</f>
        <v>0</v>
      </c>
      <c r="Y42" s="862"/>
      <c r="Z42" s="2164">
        <f>ROUND(Z36+Z40,0)</f>
        <v>25890273</v>
      </c>
      <c r="AB42" s="715"/>
    </row>
    <row r="43" spans="1:28" ht="15" customHeight="1">
      <c r="A43" s="2146"/>
      <c r="B43" s="2148"/>
      <c r="C43" s="2148"/>
      <c r="D43" s="2148"/>
      <c r="E43" s="2147"/>
      <c r="F43" s="2148"/>
      <c r="G43" s="2147"/>
      <c r="H43" s="2148"/>
      <c r="I43" s="2147"/>
      <c r="J43" s="2600"/>
      <c r="K43" s="2148"/>
      <c r="L43" s="2600"/>
      <c r="M43" s="2147"/>
      <c r="N43" s="2600"/>
      <c r="O43" s="2147"/>
      <c r="P43" s="2600"/>
      <c r="Q43" s="2147"/>
      <c r="R43" s="2600"/>
      <c r="S43" s="2147"/>
      <c r="T43" s="2600"/>
      <c r="U43" s="2147"/>
      <c r="V43" s="2600"/>
      <c r="W43" s="2147"/>
      <c r="X43" s="2600"/>
      <c r="Y43" s="2147"/>
      <c r="Z43" s="2165"/>
    </row>
    <row r="44" spans="1:28" s="859" customFormat="1" ht="20.25" customHeight="1" thickBot="1">
      <c r="A44" s="866" t="s">
        <v>503</v>
      </c>
      <c r="B44" s="2599">
        <f>ROUND(B12+B16-B42,0)</f>
        <v>135765684</v>
      </c>
      <c r="C44" s="856"/>
      <c r="D44" s="2599">
        <f>ROUND(D12+D16-D42,0)</f>
        <v>0</v>
      </c>
      <c r="E44" s="2145"/>
      <c r="F44" s="2599">
        <f>ROUND(F12+F16-F42,0)</f>
        <v>0</v>
      </c>
      <c r="G44" s="2145"/>
      <c r="H44" s="2599">
        <f>ROUND(H12+H16-H42,0)</f>
        <v>0</v>
      </c>
      <c r="I44" s="2145"/>
      <c r="J44" s="2599">
        <f>ROUND(J12+J16-J42,0)</f>
        <v>0</v>
      </c>
      <c r="K44" s="856"/>
      <c r="L44" s="2599">
        <f>ROUND(L12+L16-L42,0)</f>
        <v>0</v>
      </c>
      <c r="M44" s="867"/>
      <c r="N44" s="2599">
        <f>ROUND(N12+N16-N42,0)</f>
        <v>0</v>
      </c>
      <c r="O44" s="868"/>
      <c r="P44" s="2599">
        <f>ROUND(P12+P16-P42,0)</f>
        <v>0</v>
      </c>
      <c r="Q44" s="868"/>
      <c r="R44" s="2599">
        <f>ROUND(R12+R16-R42,0)</f>
        <v>0</v>
      </c>
      <c r="S44" s="868"/>
      <c r="T44" s="2599">
        <f>ROUND(T12+T16-T42,0)</f>
        <v>0</v>
      </c>
      <c r="U44" s="868"/>
      <c r="V44" s="2599">
        <f>ROUND(V12+V16-V42,0)</f>
        <v>0</v>
      </c>
      <c r="W44" s="868"/>
      <c r="X44" s="2599">
        <f>ROUND(X12+X16-X42,0)</f>
        <v>0</v>
      </c>
      <c r="Y44" s="868"/>
      <c r="Z44" s="2599">
        <f>ROUND(Z12+Z16-Z42,0)</f>
        <v>135765684</v>
      </c>
    </row>
    <row r="45" spans="1:28" ht="15" customHeight="1" thickTop="1">
      <c r="A45" s="2146"/>
      <c r="B45" s="2143"/>
      <c r="C45" s="2143"/>
      <c r="D45" s="2143"/>
      <c r="E45" s="2166"/>
      <c r="F45" s="2143"/>
      <c r="G45" s="2166"/>
      <c r="H45" s="2143"/>
      <c r="I45" s="2166"/>
      <c r="J45" s="2143"/>
      <c r="K45" s="2143"/>
      <c r="L45" s="2143"/>
      <c r="M45" s="2166"/>
      <c r="N45" s="2143"/>
      <c r="O45" s="2166"/>
      <c r="P45" s="2143"/>
      <c r="Q45" s="2166"/>
      <c r="R45" s="2143"/>
      <c r="S45" s="2166"/>
      <c r="T45" s="2143"/>
      <c r="U45" s="2166"/>
      <c r="V45" s="2143"/>
      <c r="W45" s="2166"/>
      <c r="X45" s="2143"/>
      <c r="Y45" s="2166"/>
      <c r="Z45" s="2165"/>
    </row>
    <row r="46" spans="1:28" ht="20.100000000000001" customHeight="1">
      <c r="A46" s="869"/>
      <c r="B46" s="2167"/>
      <c r="C46" s="2167"/>
      <c r="D46" s="2167"/>
      <c r="E46" s="2144"/>
      <c r="F46" s="2167"/>
      <c r="G46" s="2144"/>
      <c r="H46" s="2167"/>
      <c r="I46" s="2144"/>
      <c r="J46" s="2167"/>
      <c r="K46" s="2167"/>
      <c r="L46" s="2167"/>
      <c r="M46" s="2144"/>
      <c r="N46" s="2167"/>
      <c r="O46" s="2144"/>
      <c r="P46" s="2167"/>
      <c r="Q46" s="2144"/>
      <c r="R46" s="2167"/>
      <c r="S46" s="2144"/>
      <c r="T46" s="2167"/>
      <c r="U46" s="2144"/>
      <c r="V46" s="2167"/>
      <c r="W46" s="2144"/>
      <c r="X46" s="2167"/>
      <c r="Y46" s="2144"/>
      <c r="Z46" s="2149"/>
    </row>
    <row r="48" spans="1:28" ht="18" customHeight="1">
      <c r="A48" s="2598" t="s">
        <v>1370</v>
      </c>
      <c r="B48" s="2139"/>
      <c r="C48" s="2139"/>
      <c r="D48" s="2139"/>
      <c r="E48" s="837"/>
      <c r="F48" s="2139"/>
      <c r="G48" s="837"/>
      <c r="H48" s="2139"/>
      <c r="I48" s="837"/>
      <c r="J48" s="2139"/>
      <c r="K48" s="2139"/>
      <c r="L48" s="2139"/>
      <c r="M48" s="2144"/>
      <c r="N48" s="2139"/>
      <c r="O48" s="837"/>
      <c r="P48" s="2139"/>
      <c r="Q48" s="837"/>
      <c r="R48" s="2139"/>
      <c r="S48" s="837"/>
      <c r="T48" s="2139"/>
      <c r="U48" s="837"/>
      <c r="V48" s="2139"/>
      <c r="W48" s="837"/>
      <c r="X48" s="2139"/>
      <c r="Y48" s="837"/>
      <c r="Z48" s="2140"/>
    </row>
    <row r="49" spans="1:26" ht="20.100000000000001" customHeight="1">
      <c r="A49" s="2597" t="s">
        <v>1482</v>
      </c>
      <c r="B49" s="2167"/>
      <c r="C49" s="2167"/>
      <c r="D49" s="2167"/>
      <c r="E49" s="2144"/>
      <c r="F49" s="2167"/>
      <c r="G49" s="2144"/>
      <c r="H49" s="2167"/>
      <c r="I49" s="2144"/>
      <c r="J49" s="2167"/>
      <c r="K49" s="2167"/>
      <c r="L49" s="2167"/>
      <c r="M49" s="2144"/>
      <c r="N49" s="2167"/>
      <c r="O49" s="2144"/>
      <c r="P49" s="2167"/>
      <c r="Q49" s="2144"/>
      <c r="R49" s="2167"/>
      <c r="S49" s="2144"/>
      <c r="T49" s="2167"/>
      <c r="U49" s="2144"/>
      <c r="V49" s="2167"/>
      <c r="W49" s="2144"/>
      <c r="X49" s="2167"/>
      <c r="Y49" s="2144"/>
      <c r="Z49" s="2149"/>
    </row>
    <row r="50" spans="1:26" ht="20.100000000000001" customHeight="1">
      <c r="A50" s="2597"/>
      <c r="B50" s="2167"/>
      <c r="C50" s="2167"/>
      <c r="D50" s="2167"/>
      <c r="E50" s="2144"/>
      <c r="F50" s="2167"/>
      <c r="G50" s="2144"/>
      <c r="H50" s="2167"/>
      <c r="I50" s="2144"/>
      <c r="J50" s="2167"/>
      <c r="K50" s="2167"/>
      <c r="L50" s="2167"/>
      <c r="M50" s="2144"/>
      <c r="N50" s="2167"/>
      <c r="O50" s="2144"/>
      <c r="P50" s="2167"/>
      <c r="Q50" s="2144"/>
      <c r="R50" s="2167"/>
      <c r="S50" s="2144"/>
      <c r="T50" s="2167"/>
      <c r="U50" s="2144"/>
      <c r="V50" s="2167"/>
      <c r="W50" s="2144"/>
      <c r="X50" s="2167"/>
      <c r="Y50" s="2144"/>
      <c r="Z50" s="2149"/>
    </row>
    <row r="51" spans="1:26" ht="20.100000000000001" customHeight="1">
      <c r="A51" s="2638"/>
      <c r="B51" s="836"/>
      <c r="C51" s="836"/>
      <c r="D51" s="836"/>
      <c r="E51" s="837"/>
      <c r="F51" s="836"/>
      <c r="G51" s="837"/>
      <c r="H51" s="836"/>
      <c r="I51" s="837"/>
      <c r="J51" s="836"/>
      <c r="K51" s="836"/>
      <c r="L51" s="836"/>
      <c r="M51" s="837"/>
      <c r="N51" s="836"/>
      <c r="O51" s="837"/>
      <c r="P51" s="836"/>
      <c r="Q51" s="837"/>
      <c r="R51" s="836"/>
      <c r="S51" s="837"/>
      <c r="T51" s="836"/>
      <c r="U51" s="837"/>
      <c r="V51" s="836"/>
      <c r="W51" s="837"/>
      <c r="X51" s="836"/>
      <c r="Y51" s="837"/>
      <c r="Z51" s="716"/>
    </row>
    <row r="52" spans="1:26" ht="20.100000000000001" customHeight="1">
      <c r="A52" s="834"/>
      <c r="B52" s="836"/>
      <c r="C52" s="836"/>
      <c r="D52" s="836"/>
      <c r="E52" s="837"/>
      <c r="F52" s="836"/>
      <c r="G52" s="837"/>
      <c r="H52" s="836"/>
      <c r="I52" s="837"/>
      <c r="J52" s="836"/>
      <c r="K52" s="836"/>
      <c r="L52" s="836"/>
      <c r="M52" s="837"/>
      <c r="N52" s="836"/>
      <c r="O52" s="837"/>
      <c r="P52" s="836"/>
      <c r="Q52" s="837"/>
      <c r="R52" s="836"/>
      <c r="S52" s="837"/>
      <c r="T52" s="836"/>
      <c r="U52" s="837"/>
      <c r="V52" s="836"/>
      <c r="W52" s="837"/>
      <c r="X52" s="836"/>
      <c r="Y52" s="837"/>
      <c r="Z52" s="716"/>
    </row>
    <row r="53" spans="1:26" ht="20.100000000000001" customHeight="1">
      <c r="A53" s="834"/>
      <c r="B53" s="836"/>
      <c r="C53" s="836"/>
      <c r="D53" s="836"/>
      <c r="E53" s="837"/>
      <c r="F53" s="836"/>
      <c r="G53" s="837"/>
      <c r="H53" s="836"/>
      <c r="I53" s="837"/>
      <c r="J53" s="836"/>
      <c r="K53" s="836"/>
      <c r="L53" s="836"/>
      <c r="M53" s="837"/>
      <c r="N53" s="836"/>
      <c r="O53" s="837"/>
      <c r="P53" s="836"/>
      <c r="Q53" s="837"/>
      <c r="R53" s="836"/>
      <c r="S53" s="837"/>
      <c r="T53" s="836"/>
      <c r="U53" s="837"/>
      <c r="V53" s="836"/>
      <c r="W53" s="837"/>
      <c r="X53" s="836"/>
      <c r="Y53" s="837"/>
      <c r="Z53" s="716"/>
    </row>
    <row r="54" spans="1:26" ht="20.100000000000001" customHeight="1">
      <c r="A54" s="834"/>
      <c r="B54" s="836"/>
      <c r="C54" s="836"/>
      <c r="D54" s="836"/>
      <c r="E54" s="837"/>
      <c r="F54" s="836"/>
      <c r="G54" s="837"/>
      <c r="H54" s="836"/>
      <c r="I54" s="837"/>
      <c r="J54" s="836"/>
      <c r="K54" s="836"/>
      <c r="L54" s="836"/>
      <c r="M54" s="837"/>
      <c r="N54" s="836"/>
      <c r="O54" s="837"/>
      <c r="P54" s="836"/>
      <c r="Q54" s="837"/>
      <c r="R54" s="836"/>
      <c r="S54" s="837"/>
      <c r="T54" s="836"/>
      <c r="U54" s="837"/>
      <c r="V54" s="836"/>
      <c r="W54" s="837"/>
      <c r="X54" s="836"/>
      <c r="Y54" s="837"/>
      <c r="Z54" s="716"/>
    </row>
    <row r="55" spans="1:26" ht="20.100000000000001" customHeight="1">
      <c r="A55" s="834"/>
      <c r="B55" s="836"/>
      <c r="C55" s="836"/>
      <c r="D55" s="836"/>
      <c r="E55" s="837"/>
      <c r="F55" s="836"/>
      <c r="G55" s="837"/>
      <c r="H55" s="836"/>
      <c r="I55" s="837"/>
      <c r="J55" s="836"/>
      <c r="K55" s="836"/>
      <c r="L55" s="836"/>
      <c r="M55" s="837"/>
      <c r="N55" s="836"/>
      <c r="O55" s="837"/>
      <c r="P55" s="836"/>
      <c r="Q55" s="837"/>
      <c r="R55" s="836"/>
      <c r="S55" s="837"/>
      <c r="T55" s="836"/>
      <c r="U55" s="837"/>
      <c r="V55" s="836"/>
      <c r="W55" s="837"/>
      <c r="X55" s="836"/>
      <c r="Y55" s="837"/>
      <c r="Z55" s="716"/>
    </row>
    <row r="56" spans="1:26">
      <c r="A56" s="834"/>
      <c r="B56" s="836"/>
      <c r="C56" s="836"/>
      <c r="D56" s="836"/>
      <c r="E56" s="837"/>
      <c r="F56" s="836"/>
      <c r="G56" s="837"/>
      <c r="H56" s="836"/>
      <c r="I56" s="837"/>
      <c r="J56" s="836"/>
      <c r="K56" s="836"/>
      <c r="L56" s="836"/>
      <c r="M56" s="837"/>
      <c r="N56" s="836"/>
      <c r="O56" s="837"/>
      <c r="P56" s="836"/>
      <c r="Q56" s="837"/>
      <c r="R56" s="836"/>
      <c r="S56" s="837"/>
      <c r="T56" s="836"/>
      <c r="U56" s="837"/>
      <c r="V56" s="836"/>
      <c r="W56" s="837"/>
      <c r="X56" s="836"/>
      <c r="Y56" s="837"/>
      <c r="Z56" s="716"/>
    </row>
    <row r="57" spans="1:26">
      <c r="A57" s="834"/>
      <c r="B57" s="836"/>
      <c r="C57" s="836"/>
      <c r="D57" s="836"/>
      <c r="E57" s="837"/>
      <c r="F57" s="836"/>
      <c r="G57" s="837"/>
      <c r="H57" s="836"/>
      <c r="I57" s="837"/>
      <c r="J57" s="836"/>
      <c r="K57" s="836"/>
      <c r="L57" s="836"/>
      <c r="M57" s="837"/>
      <c r="N57" s="836"/>
      <c r="O57" s="837"/>
      <c r="P57" s="836"/>
      <c r="Q57" s="837"/>
      <c r="R57" s="836"/>
      <c r="S57" s="837"/>
      <c r="T57" s="836"/>
      <c r="U57" s="837"/>
      <c r="V57" s="836"/>
      <c r="W57" s="837"/>
      <c r="X57" s="836"/>
      <c r="Y57" s="837"/>
      <c r="Z57" s="716"/>
    </row>
    <row r="58" spans="1:26">
      <c r="A58" s="834"/>
      <c r="B58" s="836"/>
      <c r="C58" s="836"/>
      <c r="D58" s="836"/>
      <c r="E58" s="837"/>
      <c r="F58" s="836"/>
      <c r="G58" s="837"/>
      <c r="H58" s="836"/>
      <c r="I58" s="837"/>
      <c r="J58" s="836"/>
      <c r="K58" s="836"/>
      <c r="L58" s="836"/>
      <c r="M58" s="837"/>
      <c r="N58" s="836"/>
      <c r="O58" s="837"/>
      <c r="P58" s="836"/>
      <c r="Q58" s="837"/>
      <c r="R58" s="836"/>
      <c r="S58" s="837"/>
      <c r="T58" s="836"/>
      <c r="U58" s="837"/>
      <c r="V58" s="836"/>
      <c r="W58" s="837"/>
      <c r="X58" s="836"/>
      <c r="Y58" s="837"/>
      <c r="Z58" s="716"/>
    </row>
    <row r="59" spans="1:26">
      <c r="A59" s="834"/>
      <c r="B59" s="836"/>
      <c r="C59" s="836"/>
      <c r="D59" s="836"/>
      <c r="E59" s="837"/>
      <c r="F59" s="836"/>
      <c r="G59" s="837"/>
      <c r="H59" s="836"/>
      <c r="I59" s="837"/>
      <c r="J59" s="836"/>
      <c r="K59" s="836"/>
      <c r="L59" s="836"/>
      <c r="M59" s="837"/>
      <c r="N59" s="836"/>
      <c r="O59" s="837"/>
      <c r="P59" s="836"/>
      <c r="Q59" s="837"/>
      <c r="R59" s="836"/>
      <c r="S59" s="837"/>
      <c r="T59" s="836"/>
      <c r="U59" s="837"/>
      <c r="V59" s="836"/>
      <c r="W59" s="837"/>
      <c r="X59" s="836"/>
      <c r="Y59" s="837"/>
      <c r="Z59" s="716"/>
    </row>
    <row r="60" spans="1:26">
      <c r="A60" s="834"/>
      <c r="B60" s="836"/>
      <c r="C60" s="836"/>
      <c r="D60" s="836"/>
      <c r="E60" s="837"/>
      <c r="F60" s="836"/>
      <c r="G60" s="837"/>
      <c r="H60" s="836"/>
      <c r="I60" s="837"/>
      <c r="J60" s="836"/>
      <c r="K60" s="836"/>
      <c r="L60" s="836"/>
      <c r="M60" s="837"/>
      <c r="N60" s="836"/>
      <c r="O60" s="837"/>
      <c r="P60" s="836"/>
      <c r="Q60" s="837"/>
      <c r="R60" s="836"/>
      <c r="S60" s="837"/>
      <c r="T60" s="836"/>
      <c r="U60" s="837"/>
      <c r="V60" s="836"/>
      <c r="W60" s="837"/>
      <c r="X60" s="836"/>
      <c r="Y60" s="837"/>
      <c r="Z60" s="716"/>
    </row>
    <row r="61" spans="1:26">
      <c r="A61" s="834"/>
      <c r="B61" s="836"/>
      <c r="C61" s="836"/>
      <c r="D61" s="836"/>
      <c r="E61" s="837"/>
      <c r="F61" s="836"/>
      <c r="G61" s="837"/>
      <c r="H61" s="836"/>
      <c r="I61" s="837"/>
      <c r="J61" s="836"/>
      <c r="K61" s="836"/>
      <c r="L61" s="836"/>
      <c r="M61" s="837"/>
      <c r="N61" s="836"/>
      <c r="O61" s="837"/>
      <c r="P61" s="836"/>
      <c r="Q61" s="837"/>
      <c r="R61" s="836"/>
      <c r="S61" s="837"/>
      <c r="T61" s="836"/>
      <c r="U61" s="837"/>
      <c r="V61" s="836"/>
      <c r="W61" s="837"/>
      <c r="X61" s="836"/>
      <c r="Y61" s="837"/>
      <c r="Z61" s="716"/>
    </row>
    <row r="62" spans="1:26">
      <c r="A62" s="834"/>
      <c r="B62" s="836"/>
      <c r="C62" s="836"/>
      <c r="D62" s="836"/>
      <c r="E62" s="837"/>
      <c r="F62" s="836"/>
      <c r="G62" s="837"/>
      <c r="H62" s="836"/>
      <c r="I62" s="837"/>
      <c r="J62" s="836"/>
      <c r="K62" s="836"/>
      <c r="L62" s="836"/>
      <c r="M62" s="837"/>
      <c r="N62" s="836"/>
      <c r="O62" s="837"/>
      <c r="P62" s="836"/>
      <c r="Q62" s="837"/>
      <c r="R62" s="836"/>
      <c r="S62" s="837"/>
      <c r="T62" s="836"/>
      <c r="U62" s="837"/>
      <c r="V62" s="836"/>
      <c r="W62" s="837"/>
      <c r="X62" s="836"/>
      <c r="Y62" s="837"/>
      <c r="Z62" s="716"/>
    </row>
    <row r="63" spans="1:26">
      <c r="A63" s="834"/>
      <c r="B63" s="836"/>
      <c r="C63" s="836"/>
      <c r="D63" s="836"/>
      <c r="E63" s="837"/>
      <c r="F63" s="836"/>
      <c r="G63" s="837"/>
      <c r="H63" s="836"/>
      <c r="I63" s="837"/>
      <c r="J63" s="836"/>
      <c r="K63" s="836"/>
      <c r="L63" s="836"/>
      <c r="M63" s="837"/>
      <c r="N63" s="836"/>
      <c r="O63" s="837"/>
      <c r="P63" s="836"/>
      <c r="Q63" s="837"/>
      <c r="R63" s="836"/>
      <c r="S63" s="837"/>
      <c r="T63" s="836"/>
      <c r="U63" s="837"/>
      <c r="V63" s="836"/>
      <c r="W63" s="837"/>
      <c r="X63" s="836"/>
      <c r="Y63" s="837"/>
      <c r="Z63" s="716"/>
    </row>
    <row r="64" spans="1:26">
      <c r="A64" s="834"/>
      <c r="B64" s="836"/>
      <c r="C64" s="836"/>
      <c r="D64" s="836"/>
      <c r="E64" s="837"/>
      <c r="F64" s="836"/>
      <c r="G64" s="837"/>
      <c r="H64" s="836"/>
      <c r="I64" s="837"/>
      <c r="J64" s="836"/>
      <c r="K64" s="836"/>
      <c r="L64" s="836"/>
      <c r="M64" s="837"/>
      <c r="N64" s="836"/>
      <c r="O64" s="837"/>
      <c r="P64" s="836"/>
      <c r="Q64" s="837"/>
      <c r="R64" s="836"/>
      <c r="S64" s="837"/>
      <c r="T64" s="836"/>
      <c r="U64" s="837"/>
      <c r="V64" s="836"/>
      <c r="W64" s="837"/>
      <c r="X64" s="836"/>
      <c r="Y64" s="837"/>
      <c r="Z64" s="716"/>
    </row>
    <row r="65" spans="1:26">
      <c r="A65" s="834"/>
      <c r="B65" s="836"/>
      <c r="C65" s="836"/>
      <c r="D65" s="836"/>
      <c r="E65" s="837"/>
      <c r="F65" s="836"/>
      <c r="G65" s="837"/>
      <c r="H65" s="836"/>
      <c r="I65" s="837"/>
      <c r="J65" s="836"/>
      <c r="K65" s="836"/>
      <c r="L65" s="836"/>
      <c r="M65" s="837"/>
      <c r="N65" s="836"/>
      <c r="O65" s="837"/>
      <c r="P65" s="836"/>
      <c r="Q65" s="837"/>
      <c r="R65" s="836"/>
      <c r="S65" s="837"/>
      <c r="T65" s="836"/>
      <c r="U65" s="837"/>
      <c r="V65" s="836"/>
      <c r="W65" s="837"/>
      <c r="X65" s="836"/>
      <c r="Y65" s="837"/>
      <c r="Z65" s="716"/>
    </row>
    <row r="66" spans="1:26">
      <c r="A66" s="834"/>
      <c r="B66" s="836"/>
      <c r="C66" s="836"/>
      <c r="D66" s="836"/>
      <c r="E66" s="837"/>
      <c r="F66" s="836"/>
      <c r="G66" s="837"/>
      <c r="H66" s="836"/>
      <c r="I66" s="837"/>
      <c r="J66" s="836"/>
      <c r="K66" s="836"/>
      <c r="L66" s="836"/>
      <c r="M66" s="837"/>
      <c r="N66" s="836"/>
      <c r="O66" s="837"/>
      <c r="P66" s="836"/>
      <c r="Q66" s="837"/>
      <c r="R66" s="836"/>
      <c r="S66" s="837"/>
      <c r="T66" s="836"/>
      <c r="U66" s="837"/>
      <c r="V66" s="836"/>
      <c r="W66" s="837"/>
      <c r="X66" s="836"/>
      <c r="Y66" s="837"/>
      <c r="Z66" s="716"/>
    </row>
    <row r="67" spans="1:26">
      <c r="A67" s="834"/>
      <c r="B67" s="836"/>
      <c r="C67" s="836"/>
      <c r="D67" s="836"/>
      <c r="E67" s="837"/>
      <c r="F67" s="836"/>
      <c r="G67" s="837"/>
      <c r="H67" s="836"/>
      <c r="I67" s="837"/>
      <c r="J67" s="836"/>
      <c r="K67" s="836"/>
      <c r="L67" s="836"/>
      <c r="M67" s="837"/>
      <c r="N67" s="836"/>
      <c r="O67" s="837"/>
      <c r="P67" s="836"/>
      <c r="Q67" s="837"/>
      <c r="R67" s="836"/>
      <c r="S67" s="837"/>
      <c r="T67" s="836"/>
      <c r="U67" s="837"/>
      <c r="V67" s="836"/>
      <c r="W67" s="837"/>
      <c r="X67" s="836"/>
      <c r="Y67" s="837"/>
      <c r="Z67" s="716"/>
    </row>
    <row r="68" spans="1:26">
      <c r="A68" s="834"/>
      <c r="B68" s="836"/>
      <c r="C68" s="836"/>
      <c r="D68" s="836"/>
      <c r="E68" s="837"/>
      <c r="F68" s="836"/>
      <c r="G68" s="837"/>
      <c r="H68" s="836"/>
      <c r="I68" s="837"/>
      <c r="J68" s="836"/>
      <c r="K68" s="836"/>
      <c r="L68" s="836"/>
      <c r="M68" s="837"/>
      <c r="N68" s="836"/>
      <c r="O68" s="837"/>
      <c r="P68" s="836"/>
      <c r="Q68" s="837"/>
      <c r="R68" s="836"/>
      <c r="S68" s="837"/>
      <c r="T68" s="836"/>
      <c r="U68" s="837"/>
      <c r="V68" s="836"/>
      <c r="W68" s="837"/>
      <c r="X68" s="836"/>
      <c r="Y68" s="837"/>
      <c r="Z68" s="716"/>
    </row>
    <row r="69" spans="1:26">
      <c r="A69" s="834"/>
      <c r="B69" s="836"/>
      <c r="C69" s="836"/>
      <c r="D69" s="836"/>
      <c r="E69" s="837"/>
      <c r="F69" s="836"/>
      <c r="G69" s="837"/>
      <c r="H69" s="836"/>
      <c r="I69" s="837"/>
      <c r="J69" s="836"/>
      <c r="K69" s="836"/>
      <c r="L69" s="836"/>
      <c r="M69" s="837"/>
      <c r="N69" s="836"/>
      <c r="O69" s="837"/>
      <c r="P69" s="836"/>
      <c r="Q69" s="837"/>
      <c r="R69" s="836"/>
      <c r="S69" s="837"/>
      <c r="T69" s="836"/>
      <c r="U69" s="837"/>
      <c r="V69" s="836"/>
      <c r="W69" s="837"/>
      <c r="X69" s="836"/>
      <c r="Y69" s="837"/>
      <c r="Z69" s="716"/>
    </row>
    <row r="70" spans="1:26">
      <c r="A70" s="834"/>
      <c r="B70" s="836"/>
      <c r="C70" s="836"/>
      <c r="D70" s="836"/>
      <c r="E70" s="837"/>
      <c r="F70" s="836"/>
      <c r="G70" s="837"/>
      <c r="H70" s="836"/>
      <c r="I70" s="837"/>
      <c r="J70" s="836"/>
      <c r="K70" s="836"/>
      <c r="L70" s="836"/>
      <c r="M70" s="837"/>
      <c r="N70" s="836"/>
      <c r="O70" s="837"/>
      <c r="P70" s="836"/>
      <c r="Q70" s="837"/>
      <c r="R70" s="836"/>
      <c r="S70" s="837"/>
      <c r="T70" s="836"/>
      <c r="U70" s="837"/>
      <c r="V70" s="836"/>
      <c r="W70" s="837"/>
      <c r="X70" s="836"/>
      <c r="Y70" s="837"/>
      <c r="Z70" s="716"/>
    </row>
    <row r="71" spans="1:26">
      <c r="A71" s="834"/>
      <c r="B71" s="836"/>
      <c r="C71" s="836"/>
      <c r="D71" s="836"/>
      <c r="E71" s="837"/>
      <c r="F71" s="836"/>
      <c r="G71" s="837"/>
      <c r="H71" s="836"/>
      <c r="I71" s="837"/>
      <c r="J71" s="836"/>
      <c r="K71" s="836"/>
      <c r="L71" s="836"/>
      <c r="M71" s="837"/>
      <c r="N71" s="836"/>
      <c r="O71" s="837"/>
      <c r="P71" s="836"/>
      <c r="Q71" s="837"/>
      <c r="R71" s="836"/>
      <c r="S71" s="837"/>
      <c r="T71" s="836"/>
      <c r="U71" s="837"/>
      <c r="V71" s="836"/>
      <c r="W71" s="837"/>
      <c r="X71" s="836"/>
      <c r="Y71" s="837"/>
      <c r="Z71" s="716"/>
    </row>
    <row r="72" spans="1:26">
      <c r="A72" s="834"/>
      <c r="B72" s="836"/>
      <c r="C72" s="836"/>
      <c r="D72" s="836"/>
      <c r="E72" s="837"/>
      <c r="F72" s="836"/>
      <c r="G72" s="837"/>
      <c r="H72" s="836"/>
      <c r="I72" s="837"/>
      <c r="J72" s="836"/>
      <c r="K72" s="836"/>
      <c r="L72" s="836"/>
      <c r="M72" s="837"/>
      <c r="N72" s="836"/>
      <c r="O72" s="837"/>
      <c r="P72" s="836"/>
      <c r="Q72" s="837"/>
      <c r="R72" s="836"/>
      <c r="S72" s="837"/>
      <c r="T72" s="836"/>
      <c r="U72" s="837"/>
      <c r="V72" s="836"/>
      <c r="W72" s="837"/>
      <c r="X72" s="836"/>
      <c r="Y72" s="837"/>
      <c r="Z72" s="716"/>
    </row>
    <row r="73" spans="1:26">
      <c r="A73" s="834"/>
      <c r="B73" s="836"/>
      <c r="C73" s="836"/>
      <c r="D73" s="836"/>
      <c r="E73" s="837"/>
      <c r="F73" s="836"/>
      <c r="G73" s="837"/>
      <c r="H73" s="836"/>
      <c r="I73" s="837"/>
      <c r="J73" s="836"/>
      <c r="K73" s="836"/>
      <c r="L73" s="836"/>
      <c r="M73" s="837"/>
      <c r="N73" s="836"/>
      <c r="O73" s="837"/>
      <c r="P73" s="836"/>
      <c r="Q73" s="837"/>
      <c r="R73" s="836"/>
      <c r="S73" s="837"/>
      <c r="T73" s="836"/>
      <c r="U73" s="837"/>
      <c r="V73" s="836"/>
      <c r="W73" s="837"/>
      <c r="X73" s="836"/>
      <c r="Y73" s="837"/>
      <c r="Z73" s="716"/>
    </row>
    <row r="74" spans="1:26">
      <c r="A74" s="834"/>
      <c r="B74" s="836"/>
      <c r="C74" s="836"/>
      <c r="D74" s="836"/>
      <c r="E74" s="837"/>
      <c r="F74" s="836"/>
      <c r="G74" s="837"/>
      <c r="H74" s="836"/>
      <c r="I74" s="837"/>
      <c r="J74" s="836"/>
      <c r="K74" s="836"/>
      <c r="L74" s="836"/>
      <c r="M74" s="837"/>
      <c r="N74" s="836"/>
      <c r="O74" s="837"/>
      <c r="P74" s="836"/>
      <c r="Q74" s="837"/>
      <c r="R74" s="836"/>
      <c r="S74" s="837"/>
      <c r="T74" s="836"/>
      <c r="U74" s="837"/>
      <c r="V74" s="836"/>
      <c r="W74" s="837"/>
      <c r="X74" s="836"/>
      <c r="Y74" s="837"/>
      <c r="Z74" s="716"/>
    </row>
    <row r="75" spans="1:26">
      <c r="A75" s="834"/>
      <c r="B75" s="836"/>
      <c r="C75" s="836"/>
      <c r="D75" s="836"/>
      <c r="E75" s="837"/>
      <c r="F75" s="836"/>
      <c r="G75" s="837"/>
      <c r="H75" s="836"/>
      <c r="I75" s="837"/>
      <c r="J75" s="836"/>
      <c r="K75" s="836"/>
      <c r="L75" s="836"/>
      <c r="M75" s="837"/>
      <c r="N75" s="836"/>
      <c r="O75" s="837"/>
      <c r="P75" s="836"/>
      <c r="Q75" s="837"/>
      <c r="R75" s="836"/>
      <c r="S75" s="837"/>
      <c r="T75" s="836"/>
      <c r="U75" s="837"/>
      <c r="V75" s="836"/>
      <c r="W75" s="837"/>
      <c r="X75" s="836"/>
      <c r="Y75" s="837"/>
      <c r="Z75" s="716"/>
    </row>
    <row r="76" spans="1:26">
      <c r="A76" s="834"/>
      <c r="B76" s="836"/>
      <c r="C76" s="836"/>
      <c r="D76" s="836"/>
      <c r="E76" s="837"/>
      <c r="F76" s="836"/>
      <c r="G76" s="837"/>
      <c r="H76" s="836"/>
      <c r="I76" s="837"/>
      <c r="J76" s="836"/>
      <c r="K76" s="836"/>
      <c r="L76" s="836"/>
      <c r="M76" s="837"/>
      <c r="N76" s="836"/>
      <c r="O76" s="837"/>
      <c r="P76" s="836"/>
      <c r="Q76" s="837"/>
      <c r="R76" s="836"/>
      <c r="S76" s="837"/>
      <c r="T76" s="836"/>
      <c r="U76" s="837"/>
      <c r="V76" s="836"/>
      <c r="W76" s="837"/>
      <c r="X76" s="836"/>
      <c r="Y76" s="837"/>
      <c r="Z76" s="716"/>
    </row>
    <row r="77" spans="1:26">
      <c r="A77" s="834"/>
      <c r="B77" s="836"/>
      <c r="C77" s="836"/>
      <c r="D77" s="836"/>
      <c r="E77" s="837"/>
      <c r="F77" s="836"/>
      <c r="G77" s="837"/>
      <c r="H77" s="836"/>
      <c r="I77" s="837"/>
      <c r="J77" s="836"/>
      <c r="K77" s="836"/>
      <c r="L77" s="836"/>
      <c r="M77" s="837"/>
      <c r="N77" s="836"/>
      <c r="O77" s="837"/>
      <c r="P77" s="836"/>
      <c r="Q77" s="837"/>
      <c r="R77" s="836"/>
      <c r="S77" s="837"/>
      <c r="T77" s="836"/>
      <c r="U77" s="837"/>
      <c r="V77" s="836"/>
      <c r="W77" s="837"/>
      <c r="X77" s="836"/>
      <c r="Y77" s="837"/>
      <c r="Z77" s="716"/>
    </row>
    <row r="78" spans="1:26">
      <c r="A78" s="834"/>
      <c r="B78" s="836"/>
      <c r="C78" s="836"/>
      <c r="D78" s="836"/>
      <c r="E78" s="837"/>
      <c r="F78" s="836"/>
      <c r="G78" s="837"/>
      <c r="H78" s="836"/>
      <c r="I78" s="837"/>
      <c r="J78" s="836"/>
      <c r="K78" s="836"/>
      <c r="L78" s="836"/>
      <c r="M78" s="837"/>
      <c r="N78" s="836"/>
      <c r="O78" s="837"/>
      <c r="P78" s="836"/>
      <c r="Q78" s="837"/>
      <c r="R78" s="836"/>
      <c r="S78" s="837"/>
      <c r="T78" s="836"/>
      <c r="U78" s="837"/>
      <c r="V78" s="836"/>
      <c r="W78" s="837"/>
      <c r="X78" s="836"/>
      <c r="Y78" s="837"/>
      <c r="Z78" s="716"/>
    </row>
    <row r="79" spans="1:26">
      <c r="A79" s="834"/>
      <c r="B79" s="836"/>
      <c r="C79" s="836"/>
      <c r="D79" s="836"/>
      <c r="E79" s="837"/>
      <c r="F79" s="836"/>
      <c r="G79" s="837"/>
      <c r="H79" s="836"/>
      <c r="I79" s="837"/>
      <c r="J79" s="836"/>
      <c r="K79" s="836"/>
      <c r="L79" s="836"/>
      <c r="M79" s="837"/>
      <c r="N79" s="836"/>
      <c r="O79" s="837"/>
      <c r="P79" s="836"/>
      <c r="Q79" s="837"/>
      <c r="R79" s="836"/>
      <c r="S79" s="837"/>
      <c r="T79" s="836"/>
      <c r="U79" s="837"/>
      <c r="V79" s="836"/>
      <c r="W79" s="837"/>
      <c r="X79" s="836"/>
      <c r="Y79" s="837"/>
      <c r="Z79" s="716"/>
    </row>
    <row r="80" spans="1:26">
      <c r="A80" s="834"/>
      <c r="B80" s="836"/>
      <c r="C80" s="836"/>
      <c r="D80" s="836"/>
      <c r="E80" s="837"/>
      <c r="F80" s="836"/>
      <c r="G80" s="837"/>
      <c r="H80" s="836"/>
      <c r="I80" s="837"/>
      <c r="J80" s="836"/>
      <c r="K80" s="836"/>
      <c r="L80" s="836"/>
      <c r="M80" s="837"/>
      <c r="N80" s="836"/>
      <c r="O80" s="837"/>
      <c r="P80" s="836"/>
      <c r="Q80" s="837"/>
      <c r="R80" s="836"/>
      <c r="S80" s="837"/>
      <c r="T80" s="836"/>
      <c r="U80" s="837"/>
      <c r="V80" s="836"/>
      <c r="W80" s="837"/>
      <c r="X80" s="836"/>
      <c r="Y80" s="837"/>
      <c r="Z80" s="716"/>
    </row>
    <row r="81" spans="1:26">
      <c r="A81" s="834"/>
      <c r="B81" s="836"/>
      <c r="C81" s="836"/>
      <c r="D81" s="836"/>
      <c r="E81" s="837"/>
      <c r="F81" s="836"/>
      <c r="G81" s="837"/>
      <c r="H81" s="836"/>
      <c r="I81" s="837"/>
      <c r="J81" s="836"/>
      <c r="K81" s="836"/>
      <c r="L81" s="836"/>
      <c r="M81" s="837"/>
      <c r="N81" s="836"/>
      <c r="O81" s="837"/>
      <c r="P81" s="836"/>
      <c r="Q81" s="837"/>
      <c r="R81" s="836"/>
      <c r="S81" s="837"/>
      <c r="T81" s="836"/>
      <c r="U81" s="837"/>
      <c r="V81" s="836"/>
      <c r="W81" s="837"/>
      <c r="X81" s="836"/>
      <c r="Y81" s="837"/>
      <c r="Z81" s="716"/>
    </row>
    <row r="82" spans="1:26">
      <c r="A82" s="834"/>
      <c r="B82" s="836"/>
      <c r="C82" s="836"/>
      <c r="D82" s="836"/>
      <c r="E82" s="837"/>
      <c r="F82" s="836"/>
      <c r="G82" s="837"/>
      <c r="H82" s="836"/>
      <c r="I82" s="837"/>
      <c r="J82" s="836"/>
      <c r="K82" s="836"/>
      <c r="L82" s="836"/>
      <c r="M82" s="837"/>
      <c r="N82" s="836"/>
      <c r="O82" s="837"/>
      <c r="P82" s="836"/>
      <c r="Q82" s="837"/>
      <c r="R82" s="836"/>
      <c r="S82" s="837"/>
      <c r="T82" s="836"/>
      <c r="U82" s="837"/>
      <c r="V82" s="836"/>
      <c r="W82" s="837"/>
      <c r="X82" s="836"/>
      <c r="Y82" s="837"/>
      <c r="Z82" s="716"/>
    </row>
    <row r="83" spans="1:26">
      <c r="A83" s="834"/>
      <c r="B83" s="836"/>
      <c r="C83" s="836"/>
      <c r="D83" s="836"/>
      <c r="E83" s="837"/>
      <c r="F83" s="836"/>
      <c r="G83" s="837"/>
      <c r="H83" s="836"/>
      <c r="I83" s="837"/>
      <c r="J83" s="836"/>
      <c r="K83" s="836"/>
      <c r="L83" s="836"/>
      <c r="M83" s="837"/>
      <c r="N83" s="836"/>
      <c r="O83" s="837"/>
      <c r="P83" s="836"/>
      <c r="Q83" s="837"/>
      <c r="R83" s="836"/>
      <c r="S83" s="837"/>
      <c r="T83" s="836"/>
      <c r="U83" s="837"/>
      <c r="V83" s="836"/>
      <c r="W83" s="837"/>
      <c r="X83" s="836"/>
      <c r="Y83" s="837"/>
      <c r="Z83" s="716"/>
    </row>
    <row r="84" spans="1:26">
      <c r="A84" s="834"/>
      <c r="B84" s="836"/>
      <c r="C84" s="836"/>
      <c r="D84" s="836"/>
      <c r="E84" s="837"/>
      <c r="F84" s="836"/>
      <c r="G84" s="837"/>
      <c r="H84" s="836"/>
      <c r="I84" s="837"/>
      <c r="J84" s="836"/>
      <c r="K84" s="836"/>
      <c r="L84" s="836"/>
      <c r="M84" s="837"/>
      <c r="N84" s="836"/>
      <c r="O84" s="837"/>
      <c r="P84" s="836"/>
      <c r="Q84" s="837"/>
      <c r="R84" s="836"/>
      <c r="S84" s="837"/>
      <c r="T84" s="836"/>
      <c r="U84" s="837"/>
      <c r="V84" s="836"/>
      <c r="W84" s="837"/>
      <c r="X84" s="836"/>
      <c r="Y84" s="837"/>
      <c r="Z84" s="716"/>
    </row>
    <row r="85" spans="1:26">
      <c r="A85" s="834"/>
      <c r="B85" s="836"/>
      <c r="C85" s="836"/>
      <c r="D85" s="836"/>
      <c r="E85" s="837"/>
      <c r="F85" s="836"/>
      <c r="G85" s="837"/>
      <c r="H85" s="836"/>
      <c r="I85" s="837"/>
      <c r="J85" s="836"/>
      <c r="K85" s="836"/>
      <c r="L85" s="836"/>
      <c r="M85" s="837"/>
      <c r="N85" s="836"/>
      <c r="O85" s="837"/>
      <c r="P85" s="836"/>
      <c r="Q85" s="837"/>
      <c r="R85" s="836"/>
      <c r="S85" s="837"/>
      <c r="T85" s="836"/>
      <c r="U85" s="837"/>
      <c r="V85" s="836"/>
      <c r="W85" s="837"/>
      <c r="X85" s="836"/>
      <c r="Y85" s="837"/>
      <c r="Z85" s="716"/>
    </row>
    <row r="86" spans="1:26">
      <c r="A86" s="834"/>
      <c r="B86" s="836"/>
      <c r="C86" s="836"/>
      <c r="D86" s="836"/>
      <c r="E86" s="837"/>
      <c r="F86" s="836"/>
      <c r="G86" s="837"/>
      <c r="H86" s="836"/>
      <c r="I86" s="837"/>
      <c r="J86" s="836"/>
      <c r="K86" s="836"/>
      <c r="L86" s="836"/>
      <c r="M86" s="837"/>
      <c r="N86" s="836"/>
      <c r="O86" s="837"/>
      <c r="P86" s="836"/>
      <c r="Q86" s="837"/>
      <c r="R86" s="836"/>
      <c r="S86" s="837"/>
      <c r="T86" s="836"/>
      <c r="U86" s="837"/>
      <c r="V86" s="836"/>
      <c r="W86" s="837"/>
      <c r="X86" s="836"/>
      <c r="Y86" s="837"/>
      <c r="Z86" s="716"/>
    </row>
    <row r="87" spans="1:26">
      <c r="A87" s="834"/>
      <c r="B87" s="836"/>
      <c r="C87" s="836"/>
      <c r="D87" s="836"/>
      <c r="E87" s="837"/>
      <c r="F87" s="836"/>
      <c r="G87" s="837"/>
      <c r="H87" s="836"/>
      <c r="I87" s="837"/>
      <c r="J87" s="836"/>
      <c r="K87" s="836"/>
      <c r="L87" s="836"/>
      <c r="M87" s="837"/>
      <c r="N87" s="836"/>
      <c r="O87" s="837"/>
      <c r="P87" s="836"/>
      <c r="Q87" s="837"/>
      <c r="R87" s="836"/>
      <c r="S87" s="837"/>
      <c r="T87" s="836"/>
      <c r="U87" s="837"/>
      <c r="V87" s="836"/>
      <c r="W87" s="837"/>
      <c r="X87" s="836"/>
      <c r="Y87" s="837"/>
      <c r="Z87" s="716"/>
    </row>
    <row r="88" spans="1:26">
      <c r="A88" s="834"/>
      <c r="B88" s="836"/>
      <c r="C88" s="836"/>
      <c r="D88" s="836"/>
      <c r="E88" s="837"/>
      <c r="F88" s="836"/>
      <c r="G88" s="837"/>
      <c r="H88" s="836"/>
      <c r="I88" s="837"/>
      <c r="J88" s="836"/>
      <c r="K88" s="836"/>
      <c r="L88" s="836"/>
      <c r="M88" s="837"/>
      <c r="N88" s="836"/>
      <c r="O88" s="837"/>
      <c r="P88" s="836"/>
      <c r="Q88" s="837"/>
      <c r="R88" s="836"/>
      <c r="S88" s="837"/>
      <c r="T88" s="836"/>
      <c r="U88" s="837"/>
      <c r="V88" s="836"/>
      <c r="W88" s="837"/>
      <c r="X88" s="836"/>
      <c r="Y88" s="837"/>
      <c r="Z88" s="716"/>
    </row>
    <row r="89" spans="1:26">
      <c r="A89" s="834"/>
      <c r="B89" s="836"/>
      <c r="C89" s="836"/>
      <c r="D89" s="836"/>
      <c r="E89" s="837"/>
      <c r="F89" s="836"/>
      <c r="G89" s="837"/>
      <c r="H89" s="836"/>
      <c r="I89" s="837"/>
      <c r="J89" s="836"/>
      <c r="K89" s="836"/>
      <c r="L89" s="836"/>
      <c r="M89" s="837"/>
      <c r="N89" s="836"/>
      <c r="O89" s="837"/>
      <c r="P89" s="836"/>
      <c r="Q89" s="837"/>
      <c r="R89" s="836"/>
      <c r="S89" s="837"/>
      <c r="T89" s="836"/>
      <c r="U89" s="837"/>
      <c r="V89" s="836"/>
      <c r="W89" s="837"/>
      <c r="X89" s="836"/>
      <c r="Y89" s="837"/>
      <c r="Z89" s="716"/>
    </row>
    <row r="90" spans="1:26">
      <c r="A90" s="834"/>
      <c r="B90" s="836"/>
      <c r="C90" s="836"/>
      <c r="D90" s="836"/>
      <c r="E90" s="837"/>
      <c r="F90" s="836"/>
      <c r="G90" s="837"/>
      <c r="H90" s="836"/>
      <c r="I90" s="837"/>
      <c r="J90" s="836"/>
      <c r="K90" s="836"/>
      <c r="L90" s="836"/>
      <c r="M90" s="837"/>
      <c r="N90" s="836"/>
      <c r="O90" s="837"/>
      <c r="P90" s="836"/>
      <c r="Q90" s="837"/>
      <c r="R90" s="836"/>
      <c r="S90" s="837"/>
      <c r="T90" s="836"/>
      <c r="U90" s="837"/>
      <c r="V90" s="836"/>
      <c r="W90" s="837"/>
      <c r="X90" s="836"/>
      <c r="Y90" s="837"/>
      <c r="Z90" s="716"/>
    </row>
    <row r="91" spans="1:26">
      <c r="A91" s="834"/>
      <c r="B91" s="836"/>
      <c r="C91" s="836"/>
      <c r="D91" s="836"/>
      <c r="E91" s="837"/>
      <c r="F91" s="836"/>
      <c r="G91" s="837"/>
      <c r="H91" s="836"/>
      <c r="I91" s="837"/>
      <c r="J91" s="836"/>
      <c r="K91" s="836"/>
      <c r="L91" s="836"/>
      <c r="M91" s="837"/>
      <c r="N91" s="836"/>
      <c r="O91" s="837"/>
      <c r="P91" s="836"/>
      <c r="Q91" s="837"/>
      <c r="R91" s="836"/>
      <c r="S91" s="837"/>
      <c r="T91" s="836"/>
      <c r="U91" s="837"/>
      <c r="V91" s="836"/>
      <c r="W91" s="837"/>
      <c r="X91" s="836"/>
      <c r="Y91" s="837"/>
      <c r="Z91" s="716"/>
    </row>
    <row r="92" spans="1:26">
      <c r="A92" s="834"/>
      <c r="B92" s="836"/>
      <c r="C92" s="836"/>
      <c r="D92" s="836"/>
      <c r="E92" s="837"/>
      <c r="F92" s="836"/>
      <c r="G92" s="837"/>
      <c r="H92" s="836"/>
      <c r="I92" s="837"/>
      <c r="J92" s="836"/>
      <c r="K92" s="836"/>
      <c r="L92" s="836"/>
      <c r="M92" s="837"/>
      <c r="N92" s="836"/>
      <c r="O92" s="837"/>
      <c r="P92" s="836"/>
      <c r="Q92" s="837"/>
      <c r="R92" s="836"/>
      <c r="S92" s="837"/>
      <c r="T92" s="836"/>
      <c r="U92" s="837"/>
      <c r="V92" s="836"/>
      <c r="W92" s="837"/>
      <c r="X92" s="836"/>
      <c r="Y92" s="837"/>
      <c r="Z92" s="716"/>
    </row>
    <row r="93" spans="1:26">
      <c r="A93" s="834"/>
      <c r="B93" s="836"/>
      <c r="C93" s="836"/>
      <c r="D93" s="836"/>
      <c r="E93" s="837"/>
      <c r="F93" s="836"/>
      <c r="G93" s="837"/>
      <c r="H93" s="836"/>
      <c r="I93" s="837"/>
      <c r="J93" s="836"/>
      <c r="K93" s="836"/>
      <c r="L93" s="836"/>
      <c r="M93" s="837"/>
      <c r="N93" s="836"/>
      <c r="O93" s="837"/>
      <c r="P93" s="836"/>
      <c r="Q93" s="837"/>
      <c r="R93" s="836"/>
      <c r="S93" s="837"/>
      <c r="T93" s="836"/>
      <c r="U93" s="837"/>
      <c r="V93" s="836"/>
      <c r="W93" s="837"/>
      <c r="X93" s="836"/>
      <c r="Y93" s="837"/>
      <c r="Z93" s="716"/>
    </row>
  </sheetData>
  <sortState ref="A19:AN28">
    <sortCondition ref="A19:A28"/>
  </sortState>
  <pageMargins left="0.1" right="0.1" top="0.75" bottom="0.25" header="0" footer="0.25"/>
  <pageSetup scale="43" firstPageNumber="5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IT57"/>
  <sheetViews>
    <sheetView showGridLines="0" zoomScale="70" zoomScaleNormal="80" workbookViewId="0"/>
  </sheetViews>
  <sheetFormatPr defaultColWidth="8.88671875" defaultRowHeight="15"/>
  <cols>
    <col min="1" max="1" width="36.77734375" style="228" customWidth="1"/>
    <col min="2" max="2" width="13.77734375" style="228" customWidth="1"/>
    <col min="3" max="3" width="1.6640625" style="228" customWidth="1"/>
    <col min="4" max="4" width="13.77734375" style="228" customWidth="1"/>
    <col min="5" max="5" width="1.5546875" style="228" customWidth="1"/>
    <col min="6" max="6" width="13.77734375" style="228" customWidth="1"/>
    <col min="7" max="7" width="1.6640625" style="228" customWidth="1"/>
    <col min="8" max="8" width="13.77734375" style="228" customWidth="1"/>
    <col min="9" max="9" width="0.77734375" style="228" customWidth="1"/>
    <col min="10" max="10" width="12.77734375" style="228" customWidth="1"/>
    <col min="11" max="11" width="1.5546875" style="228" customWidth="1"/>
    <col min="12" max="12" width="13.77734375" style="228" customWidth="1"/>
    <col min="13" max="13" width="1" style="228" customWidth="1"/>
    <col min="14" max="14" width="13.44140625" style="2824" customWidth="1"/>
    <col min="15" max="15" width="1.33203125" style="2824" customWidth="1"/>
    <col min="16" max="16" width="13.33203125" style="2824" customWidth="1"/>
    <col min="17" max="17" width="1.5546875" style="228" customWidth="1"/>
    <col min="18" max="18" width="1" style="293" customWidth="1"/>
    <col min="19" max="19" width="11.88671875" style="228" customWidth="1"/>
    <col min="20" max="20" width="0.77734375" style="293" customWidth="1"/>
    <col min="21" max="21" width="10.88671875" style="228" customWidth="1"/>
    <col min="22" max="22" width="0.44140625" style="293" customWidth="1"/>
    <col min="23" max="16384" width="8.88671875" style="228"/>
  </cols>
  <sheetData>
    <row r="1" spans="1:254">
      <c r="A1" s="1052" t="s">
        <v>1064</v>
      </c>
    </row>
    <row r="2" spans="1:254">
      <c r="A2" s="1454"/>
    </row>
    <row r="3" spans="1:254" s="221" customFormat="1" ht="18" customHeight="1">
      <c r="A3" s="216" t="s">
        <v>0</v>
      </c>
      <c r="B3" s="216"/>
      <c r="C3" s="216"/>
      <c r="D3" s="216"/>
      <c r="E3" s="216"/>
      <c r="F3" s="217"/>
      <c r="G3" s="217"/>
      <c r="H3" s="216"/>
      <c r="I3" s="216"/>
      <c r="J3" s="216"/>
      <c r="K3" s="216"/>
      <c r="L3" s="216"/>
      <c r="M3" s="216"/>
      <c r="N3" s="735"/>
      <c r="O3" s="3738"/>
      <c r="P3" s="3738"/>
      <c r="Q3" s="2197"/>
      <c r="R3" s="2197"/>
      <c r="S3" s="218"/>
      <c r="T3" s="220"/>
      <c r="U3" s="3739" t="s">
        <v>63</v>
      </c>
      <c r="V3" s="3739"/>
      <c r="W3" s="219"/>
      <c r="X3" s="219"/>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c r="IM3" s="217"/>
      <c r="IN3" s="217"/>
      <c r="IO3" s="217"/>
      <c r="IP3" s="217"/>
      <c r="IQ3" s="217"/>
      <c r="IR3" s="217"/>
      <c r="IS3" s="217"/>
      <c r="IT3" s="217"/>
    </row>
    <row r="4" spans="1:254" s="221" customFormat="1" ht="15.75">
      <c r="A4" s="216" t="s">
        <v>358</v>
      </c>
      <c r="B4" s="216"/>
      <c r="C4" s="216"/>
      <c r="D4" s="216"/>
      <c r="E4" s="216"/>
      <c r="F4" s="217"/>
      <c r="G4" s="217"/>
      <c r="H4" s="216"/>
      <c r="I4" s="216"/>
      <c r="J4" s="216"/>
      <c r="K4" s="216"/>
      <c r="L4" s="216"/>
      <c r="M4" s="216"/>
      <c r="N4" s="294"/>
      <c r="O4" s="294"/>
      <c r="P4" s="294"/>
      <c r="Q4" s="216"/>
      <c r="R4" s="458"/>
      <c r="S4" s="218"/>
      <c r="T4" s="220"/>
      <c r="U4" s="219"/>
      <c r="V4" s="220"/>
      <c r="W4" s="219"/>
      <c r="X4" s="219"/>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row>
    <row r="5" spans="1:254" s="221" customFormat="1" ht="15.75">
      <c r="A5" s="2198" t="s">
        <v>962</v>
      </c>
      <c r="B5" s="216"/>
      <c r="C5" s="216"/>
      <c r="D5" s="216"/>
      <c r="E5" s="216"/>
      <c r="F5" s="217"/>
      <c r="G5" s="217"/>
      <c r="H5" s="216"/>
      <c r="I5" s="216"/>
      <c r="J5" s="216"/>
      <c r="K5" s="216"/>
      <c r="L5" s="216"/>
      <c r="M5" s="216"/>
      <c r="N5" s="294"/>
      <c r="O5" s="294"/>
      <c r="P5" s="294" t="s">
        <v>15</v>
      </c>
      <c r="Q5" s="216"/>
      <c r="R5" s="458"/>
      <c r="S5" s="218"/>
      <c r="T5" s="220"/>
      <c r="U5" s="219"/>
      <c r="V5" s="220"/>
      <c r="W5" s="219"/>
      <c r="X5" s="219"/>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row>
    <row r="6" spans="1:254" s="221" customFormat="1" ht="15.75">
      <c r="A6" s="216" t="s">
        <v>957</v>
      </c>
      <c r="B6" s="216"/>
      <c r="C6" s="216"/>
      <c r="D6" s="216"/>
      <c r="E6" s="216"/>
      <c r="F6" s="217"/>
      <c r="G6" s="217"/>
      <c r="H6" s="216"/>
      <c r="I6" s="216"/>
      <c r="J6" s="216"/>
      <c r="K6" s="216"/>
      <c r="L6" s="216"/>
      <c r="M6" s="216"/>
      <c r="N6" s="294"/>
      <c r="O6" s="294"/>
      <c r="P6" s="294"/>
      <c r="Q6" s="216"/>
      <c r="R6" s="458"/>
      <c r="S6" s="218"/>
      <c r="T6" s="220"/>
      <c r="U6" s="219"/>
      <c r="V6" s="220"/>
      <c r="W6" s="219"/>
      <c r="X6" s="219"/>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row>
    <row r="7" spans="1:254" s="221" customFormat="1" ht="15.75">
      <c r="A7" s="222"/>
      <c r="B7" s="216"/>
      <c r="C7" s="216"/>
      <c r="D7" s="216"/>
      <c r="E7" s="216"/>
      <c r="F7" s="217"/>
      <c r="G7" s="217"/>
      <c r="H7" s="216"/>
      <c r="I7" s="216"/>
      <c r="J7" s="216"/>
      <c r="K7" s="216"/>
      <c r="L7" s="216"/>
      <c r="M7" s="216"/>
      <c r="N7" s="294"/>
      <c r="O7" s="294"/>
      <c r="P7" s="294"/>
      <c r="Q7" s="216"/>
      <c r="R7" s="458"/>
      <c r="S7" s="218"/>
      <c r="T7" s="220"/>
      <c r="U7" s="219"/>
      <c r="V7" s="220"/>
      <c r="W7" s="219"/>
      <c r="X7" s="219"/>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row>
    <row r="8" spans="1:254" s="221" customFormat="1" ht="15.75">
      <c r="B8" s="216"/>
      <c r="C8" s="216"/>
      <c r="D8" s="216"/>
      <c r="E8" s="216"/>
      <c r="F8" s="217"/>
      <c r="G8" s="217"/>
      <c r="H8" s="216"/>
      <c r="I8" s="216"/>
      <c r="J8" s="216"/>
      <c r="K8" s="216"/>
      <c r="L8" s="216"/>
      <c r="M8" s="216"/>
      <c r="N8" s="294"/>
      <c r="O8" s="294"/>
      <c r="P8" s="294"/>
      <c r="Q8" s="216"/>
      <c r="R8" s="458"/>
      <c r="S8" s="218"/>
      <c r="T8" s="220"/>
      <c r="U8" s="219"/>
      <c r="V8" s="220"/>
      <c r="W8" s="219"/>
      <c r="X8" s="219"/>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row>
    <row r="9" spans="1:254" s="221" customFormat="1" ht="8.1" customHeight="1">
      <c r="A9" s="218"/>
      <c r="B9" s="216"/>
      <c r="C9" s="216"/>
      <c r="D9" s="216"/>
      <c r="E9" s="216"/>
      <c r="F9" s="216"/>
      <c r="G9" s="217"/>
      <c r="H9" s="216"/>
      <c r="I9" s="216"/>
      <c r="J9" s="216"/>
      <c r="K9" s="216"/>
      <c r="L9" s="216"/>
      <c r="M9" s="216"/>
      <c r="N9" s="294"/>
      <c r="O9" s="294"/>
      <c r="P9" s="294"/>
      <c r="Q9" s="216"/>
      <c r="R9" s="458"/>
      <c r="S9" s="218"/>
      <c r="T9" s="223"/>
      <c r="U9" s="218"/>
      <c r="V9" s="224"/>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row>
    <row r="10" spans="1:254" s="221" customFormat="1" ht="15.75">
      <c r="A10" s="218"/>
      <c r="B10" s="216"/>
      <c r="C10" s="216"/>
      <c r="D10" s="216"/>
      <c r="E10" s="216"/>
      <c r="F10" s="216"/>
      <c r="G10" s="217"/>
      <c r="H10" s="216"/>
      <c r="I10" s="216"/>
      <c r="J10" s="216"/>
      <c r="K10" s="216"/>
      <c r="L10" s="216"/>
      <c r="M10" s="216"/>
      <c r="N10" s="294"/>
      <c r="O10" s="294"/>
      <c r="P10" s="294"/>
      <c r="Q10" s="216"/>
      <c r="R10" s="458"/>
      <c r="S10" s="218"/>
      <c r="T10" s="220"/>
      <c r="U10" s="219"/>
      <c r="V10" s="220"/>
      <c r="W10" s="219"/>
      <c r="X10" s="219"/>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row>
    <row r="11" spans="1:254" s="221" customFormat="1" ht="15.75">
      <c r="A11" s="218"/>
      <c r="B11" s="216"/>
      <c r="C11" s="216"/>
      <c r="D11" s="216"/>
      <c r="E11" s="216"/>
      <c r="F11" s="216"/>
      <c r="G11" s="217"/>
      <c r="H11" s="216"/>
      <c r="I11" s="216"/>
      <c r="K11" s="1279"/>
      <c r="L11" s="2203"/>
      <c r="M11" s="401"/>
      <c r="N11" s="1282"/>
      <c r="O11" s="1282"/>
      <c r="P11" s="1282"/>
      <c r="Q11" s="1279"/>
      <c r="R11" s="1305"/>
      <c r="S11" s="218"/>
      <c r="T11" s="220"/>
      <c r="U11" s="219"/>
      <c r="V11" s="220"/>
      <c r="W11" s="219"/>
      <c r="X11" s="219"/>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row>
    <row r="12" spans="1:254" ht="15.95" customHeight="1">
      <c r="A12" s="218"/>
      <c r="B12" s="1279"/>
      <c r="C12" s="1279" t="s">
        <v>64</v>
      </c>
      <c r="D12" s="1279"/>
      <c r="E12" s="216"/>
      <c r="F12" s="1279"/>
      <c r="G12" s="1279" t="s">
        <v>65</v>
      </c>
      <c r="H12" s="1279"/>
      <c r="I12" s="216"/>
      <c r="J12" s="1279"/>
      <c r="K12" s="1279"/>
      <c r="L12" s="2203"/>
      <c r="M12" s="1279" t="s">
        <v>66</v>
      </c>
      <c r="N12" s="1282"/>
      <c r="O12" s="1282"/>
      <c r="P12" s="1282"/>
      <c r="Q12" s="1279"/>
      <c r="R12" s="1305"/>
      <c r="S12" s="1662" t="s">
        <v>1189</v>
      </c>
      <c r="T12" s="1660"/>
      <c r="U12" s="1661"/>
      <c r="V12" s="226"/>
      <c r="W12" s="227"/>
      <c r="X12" s="227"/>
    </row>
    <row r="13" spans="1:254" ht="12.95" customHeight="1">
      <c r="A13" s="218"/>
      <c r="B13" s="229"/>
      <c r="C13" s="229"/>
      <c r="D13" s="229"/>
      <c r="E13" s="218"/>
      <c r="F13" s="229"/>
      <c r="G13" s="230"/>
      <c r="H13" s="229"/>
      <c r="I13" s="218"/>
      <c r="J13" s="229"/>
      <c r="K13" s="229"/>
      <c r="L13" s="229"/>
      <c r="M13" s="229"/>
      <c r="N13" s="2825"/>
      <c r="O13" s="2825"/>
      <c r="P13" s="2825"/>
      <c r="Q13" s="223"/>
      <c r="R13" s="1688"/>
      <c r="S13" s="225"/>
      <c r="T13" s="231"/>
      <c r="U13" s="227"/>
      <c r="V13" s="231"/>
      <c r="W13" s="227"/>
      <c r="X13" s="227"/>
    </row>
    <row r="14" spans="1:254" ht="15.95" customHeight="1">
      <c r="A14" s="218"/>
      <c r="B14" s="1279" t="s">
        <v>7</v>
      </c>
      <c r="C14" s="216"/>
      <c r="D14" s="1279" t="str">
        <f>'Exhibit A'!F11</f>
        <v>1 MO. ENDED</v>
      </c>
      <c r="E14" s="216"/>
      <c r="F14" s="1279" t="s">
        <v>7</v>
      </c>
      <c r="G14" s="399"/>
      <c r="H14" s="1279" t="str">
        <f>D14</f>
        <v>1 MO. ENDED</v>
      </c>
      <c r="I14" s="216"/>
      <c r="J14" s="1279" t="s">
        <v>7</v>
      </c>
      <c r="K14" s="216"/>
      <c r="L14" s="1279" t="str">
        <f>D14</f>
        <v>1 MO. ENDED</v>
      </c>
      <c r="M14" s="216"/>
      <c r="N14" s="1282" t="s">
        <v>7</v>
      </c>
      <c r="O14" s="294"/>
      <c r="P14" s="1282" t="str">
        <f>H14</f>
        <v>1 MO. ENDED</v>
      </c>
      <c r="Q14" s="1279"/>
      <c r="R14" s="1691"/>
      <c r="S14" s="1296" t="s">
        <v>8</v>
      </c>
      <c r="T14" s="400"/>
      <c r="U14" s="1297" t="s">
        <v>9</v>
      </c>
      <c r="V14" s="231"/>
      <c r="W14" s="227"/>
      <c r="X14" s="227"/>
    </row>
    <row r="15" spans="1:254" ht="15.95" customHeight="1">
      <c r="A15" s="218"/>
      <c r="B15" s="1280" t="str">
        <f>'Exhibit A'!D12</f>
        <v>APR. 2018</v>
      </c>
      <c r="C15" s="216"/>
      <c r="D15" s="1281" t="str">
        <f>'Exhibit A'!F12</f>
        <v>APR. 30, 2018</v>
      </c>
      <c r="E15" s="216"/>
      <c r="F15" s="1279" t="str">
        <f>B15</f>
        <v>APR. 2018</v>
      </c>
      <c r="G15" s="216"/>
      <c r="H15" s="1279" t="str">
        <f>D15</f>
        <v>APR. 30, 2018</v>
      </c>
      <c r="I15" s="216"/>
      <c r="J15" s="1279" t="str">
        <f>B15</f>
        <v>APR. 2018</v>
      </c>
      <c r="K15" s="216"/>
      <c r="L15" s="1279" t="str">
        <f>D15</f>
        <v>APR. 30, 2018</v>
      </c>
      <c r="M15" s="216"/>
      <c r="N15" s="1287" t="str">
        <f>'Exhibit A'!AB12</f>
        <v>APR. 2017</v>
      </c>
      <c r="O15" s="294"/>
      <c r="P15" s="1287" t="str">
        <f>'Exhibit A'!AD12</f>
        <v>APR. 30, 2017</v>
      </c>
      <c r="Q15" s="1278"/>
      <c r="R15" s="1692"/>
      <c r="S15" s="1302" t="s">
        <v>12</v>
      </c>
      <c r="T15" s="399"/>
      <c r="U15" s="1303" t="s">
        <v>13</v>
      </c>
      <c r="V15" s="231"/>
      <c r="W15" s="227"/>
      <c r="X15" s="227"/>
    </row>
    <row r="16" spans="1:254" ht="12.95" customHeight="1">
      <c r="A16" s="218"/>
      <c r="B16" s="229"/>
      <c r="C16" s="218"/>
      <c r="D16" s="229" t="s">
        <v>15</v>
      </c>
      <c r="E16" s="218"/>
      <c r="F16" s="229"/>
      <c r="G16" s="218"/>
      <c r="H16" s="230" t="s">
        <v>15</v>
      </c>
      <c r="I16" s="232"/>
      <c r="J16" s="233"/>
      <c r="K16" s="218"/>
      <c r="L16" s="229"/>
      <c r="M16" s="232"/>
      <c r="N16" s="298"/>
      <c r="O16" s="296"/>
      <c r="P16" s="298"/>
      <c r="Q16" s="223"/>
      <c r="R16" s="1688"/>
      <c r="S16" s="225"/>
      <c r="T16" s="223"/>
      <c r="U16" s="227"/>
      <c r="V16" s="223"/>
      <c r="W16" s="227"/>
      <c r="X16" s="227"/>
    </row>
    <row r="17" spans="1:247" ht="15.95" customHeight="1">
      <c r="A17" s="216" t="s">
        <v>14</v>
      </c>
      <c r="B17" s="234"/>
      <c r="C17" s="234"/>
      <c r="D17" s="234"/>
      <c r="E17" s="234"/>
      <c r="F17" s="234"/>
      <c r="G17" s="234"/>
      <c r="H17" s="234"/>
      <c r="I17" s="235"/>
      <c r="J17" s="235"/>
      <c r="K17" s="234"/>
      <c r="L17" s="234"/>
      <c r="M17" s="235"/>
      <c r="N17" s="2827"/>
      <c r="O17" s="2826"/>
      <c r="P17" s="2827"/>
      <c r="Q17" s="236"/>
      <c r="R17" s="1693"/>
      <c r="S17" s="225"/>
      <c r="T17" s="236"/>
      <c r="U17" s="227"/>
      <c r="V17" s="236"/>
      <c r="W17" s="227"/>
      <c r="X17" s="227"/>
    </row>
    <row r="18" spans="1:247" ht="15.95" customHeight="1">
      <c r="A18" s="218" t="s">
        <v>20</v>
      </c>
      <c r="B18" s="1116">
        <f>'Exhibit J'!C19</f>
        <v>3.9</v>
      </c>
      <c r="C18" s="1116"/>
      <c r="D18" s="1671">
        <f>+'Exhibit J'!AB19</f>
        <v>3.9</v>
      </c>
      <c r="E18" s="1116"/>
      <c r="F18" s="1671">
        <f>'Exhibit K'!B17</f>
        <v>22.6</v>
      </c>
      <c r="G18" s="1116"/>
      <c r="H18" s="1671">
        <f>+'Exhibit K'!AA17</f>
        <v>22.6</v>
      </c>
      <c r="I18" s="2032"/>
      <c r="J18" s="2032">
        <f>ROUND(SUM(B18)+SUM(F18),1)</f>
        <v>26.5</v>
      </c>
      <c r="K18" s="1116"/>
      <c r="L18" s="2252">
        <f>ROUND(SUM(D18)+SUM(H18),1)</f>
        <v>26.5</v>
      </c>
      <c r="M18" s="2032"/>
      <c r="N18" s="1731">
        <v>32.6</v>
      </c>
      <c r="O18" s="1731"/>
      <c r="P18" s="1731">
        <f>'Exhibit J'!AE19+'Exhibit K'!AD17</f>
        <v>32.6</v>
      </c>
      <c r="Q18" s="1671"/>
      <c r="R18" s="2253"/>
      <c r="S18" s="1116">
        <f>ROUND(SUM(L18-P18),1)</f>
        <v>-6.1</v>
      </c>
      <c r="T18" s="2011"/>
      <c r="U18" s="2316">
        <f>ROUND(+S18/P18,3)</f>
        <v>-0.187</v>
      </c>
      <c r="V18" s="239"/>
      <c r="W18" s="240"/>
      <c r="X18" s="240"/>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8"/>
      <c r="CQ18" s="238"/>
      <c r="CR18" s="238"/>
      <c r="CS18" s="238"/>
      <c r="CT18" s="238"/>
      <c r="CU18" s="238"/>
      <c r="CV18" s="238"/>
      <c r="CW18" s="238"/>
      <c r="CX18" s="238"/>
      <c r="CY18" s="238"/>
      <c r="CZ18" s="238"/>
      <c r="DA18" s="238"/>
      <c r="DB18" s="238"/>
      <c r="DC18" s="238"/>
      <c r="DD18" s="238"/>
      <c r="DE18" s="238"/>
      <c r="DF18" s="238"/>
      <c r="DG18" s="238"/>
      <c r="DH18" s="238"/>
      <c r="DI18" s="238"/>
      <c r="DJ18" s="238"/>
      <c r="DK18" s="238"/>
      <c r="DL18" s="238"/>
      <c r="DM18" s="238"/>
      <c r="DN18" s="238"/>
      <c r="DO18" s="238"/>
      <c r="DP18" s="238"/>
      <c r="DQ18" s="238"/>
      <c r="DR18" s="238"/>
      <c r="DS18" s="238"/>
      <c r="DT18" s="238"/>
      <c r="DU18" s="238"/>
      <c r="DV18" s="238"/>
      <c r="DW18" s="238"/>
      <c r="DX18" s="238"/>
      <c r="DY18" s="238"/>
      <c r="DZ18" s="238"/>
      <c r="EA18" s="238"/>
      <c r="EB18" s="238"/>
      <c r="EC18" s="238"/>
      <c r="ED18" s="238"/>
      <c r="EE18" s="238"/>
      <c r="EF18" s="238"/>
      <c r="EG18" s="238"/>
      <c r="EH18" s="238"/>
      <c r="EI18" s="238"/>
      <c r="EJ18" s="238"/>
      <c r="EK18" s="238"/>
      <c r="EL18" s="238"/>
      <c r="EM18" s="238"/>
      <c r="EN18" s="238"/>
      <c r="EO18" s="238"/>
      <c r="EP18" s="238"/>
      <c r="EQ18" s="238"/>
      <c r="ER18" s="238"/>
      <c r="ES18" s="238"/>
      <c r="ET18" s="238"/>
      <c r="EU18" s="238"/>
      <c r="EV18" s="238"/>
      <c r="EW18" s="238"/>
      <c r="EX18" s="238"/>
      <c r="EY18" s="238"/>
      <c r="EZ18" s="238"/>
      <c r="FA18" s="238"/>
      <c r="FB18" s="238"/>
      <c r="FC18" s="238"/>
      <c r="FD18" s="238"/>
      <c r="FE18" s="238"/>
      <c r="FF18" s="238"/>
      <c r="FG18" s="238"/>
      <c r="FH18" s="238"/>
      <c r="FI18" s="238"/>
      <c r="FJ18" s="238"/>
      <c r="FK18" s="238"/>
      <c r="FL18" s="238"/>
      <c r="FM18" s="238"/>
      <c r="FN18" s="238"/>
      <c r="FO18" s="238"/>
      <c r="FP18" s="238"/>
      <c r="FQ18" s="238"/>
      <c r="FR18" s="238"/>
      <c r="FS18" s="238"/>
      <c r="FT18" s="238"/>
      <c r="FU18" s="238"/>
      <c r="FV18" s="238"/>
      <c r="FW18" s="238"/>
      <c r="FX18" s="238"/>
      <c r="FY18" s="238"/>
      <c r="FZ18" s="238"/>
      <c r="GA18" s="238"/>
      <c r="GB18" s="238"/>
      <c r="GC18" s="238"/>
      <c r="GD18" s="238"/>
      <c r="GE18" s="238"/>
      <c r="GF18" s="238"/>
      <c r="GG18" s="238"/>
      <c r="GH18" s="238"/>
      <c r="GI18" s="238"/>
      <c r="GJ18" s="238"/>
      <c r="GK18" s="238"/>
      <c r="GL18" s="238"/>
      <c r="GM18" s="238"/>
      <c r="GN18" s="238"/>
      <c r="GO18" s="238"/>
      <c r="GP18" s="238"/>
      <c r="GQ18" s="238"/>
      <c r="GR18" s="238"/>
      <c r="GS18" s="238"/>
      <c r="GT18" s="238"/>
      <c r="GU18" s="238"/>
      <c r="GV18" s="238"/>
      <c r="GW18" s="238"/>
      <c r="GX18" s="238"/>
      <c r="GY18" s="238"/>
      <c r="GZ18" s="238"/>
      <c r="HA18" s="238"/>
      <c r="HB18" s="238"/>
      <c r="HC18" s="238"/>
      <c r="HD18" s="238"/>
      <c r="HE18" s="238"/>
      <c r="HF18" s="238"/>
      <c r="HG18" s="238"/>
      <c r="HH18" s="238"/>
      <c r="HI18" s="238"/>
      <c r="HJ18" s="238"/>
      <c r="HK18" s="238"/>
      <c r="HL18" s="238"/>
      <c r="HM18" s="238"/>
      <c r="HN18" s="238"/>
      <c r="HO18" s="238"/>
      <c r="HP18" s="238"/>
      <c r="HQ18" s="238"/>
      <c r="HR18" s="238"/>
      <c r="HS18" s="238"/>
      <c r="HT18" s="238"/>
      <c r="HU18" s="238"/>
      <c r="HV18" s="238"/>
      <c r="HW18" s="238"/>
      <c r="HX18" s="238"/>
      <c r="HY18" s="238"/>
      <c r="HZ18" s="238"/>
      <c r="IA18" s="238"/>
      <c r="IB18" s="238"/>
      <c r="IC18" s="238"/>
      <c r="ID18" s="238"/>
      <c r="IE18" s="238"/>
      <c r="IF18" s="238"/>
      <c r="IG18" s="238"/>
      <c r="IH18" s="238"/>
      <c r="II18" s="238"/>
      <c r="IJ18" s="238"/>
      <c r="IK18" s="238"/>
      <c r="IL18" s="238"/>
      <c r="IM18" s="238"/>
    </row>
    <row r="19" spans="1:247" ht="15.95" customHeight="1">
      <c r="A19" s="1443" t="s">
        <v>67</v>
      </c>
      <c r="B19" s="1042">
        <f>'Exhibit J'!C20</f>
        <v>1</v>
      </c>
      <c r="C19" s="1042"/>
      <c r="D19" s="1608">
        <f>+'Exhibit J'!AB20</f>
        <v>1</v>
      </c>
      <c r="E19" s="1042"/>
      <c r="F19" s="1117">
        <v>0</v>
      </c>
      <c r="G19" s="1042"/>
      <c r="H19" s="1117">
        <v>0</v>
      </c>
      <c r="I19" s="2255"/>
      <c r="J19" s="2256">
        <f>ROUND(SUM(B19)+SUM(F19),1)</f>
        <v>1</v>
      </c>
      <c r="K19" s="1131"/>
      <c r="L19" s="1608">
        <f>ROUND(SUM(D19)+SUM(H19),1)</f>
        <v>1</v>
      </c>
      <c r="M19" s="2257"/>
      <c r="N19" s="1740">
        <v>1.2</v>
      </c>
      <c r="O19" s="1740"/>
      <c r="P19" s="1740">
        <f>'Exhibit J'!AE20</f>
        <v>1.2</v>
      </c>
      <c r="Q19" s="1608"/>
      <c r="R19" s="2258"/>
      <c r="S19" s="1042">
        <f>ROUND(SUM(L19-P19),1)</f>
        <v>-0.2</v>
      </c>
      <c r="T19" s="2259"/>
      <c r="U19" s="2487">
        <f>ROUND(+S19/P19,3)</f>
        <v>-0.16700000000000001</v>
      </c>
      <c r="V19" s="247"/>
      <c r="W19" s="240"/>
      <c r="X19" s="240"/>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38"/>
      <c r="EU19" s="238"/>
      <c r="EV19" s="238"/>
      <c r="EW19" s="238"/>
      <c r="EX19" s="238"/>
      <c r="EY19" s="238"/>
      <c r="EZ19" s="238"/>
      <c r="FA19" s="238"/>
      <c r="FB19" s="238"/>
      <c r="FC19" s="238"/>
      <c r="FD19" s="238"/>
      <c r="FE19" s="238"/>
      <c r="FF19" s="238"/>
      <c r="FG19" s="238"/>
      <c r="FH19" s="238"/>
      <c r="FI19" s="238"/>
      <c r="FJ19" s="238"/>
      <c r="FK19" s="238"/>
      <c r="FL19" s="238"/>
      <c r="FM19" s="238"/>
      <c r="FN19" s="238"/>
      <c r="FO19" s="238"/>
      <c r="FP19" s="238"/>
      <c r="FQ19" s="238"/>
      <c r="FR19" s="238"/>
      <c r="FS19" s="238"/>
      <c r="FT19" s="238"/>
      <c r="FU19" s="238"/>
      <c r="FV19" s="238"/>
      <c r="FW19" s="238"/>
      <c r="FX19" s="238"/>
      <c r="FY19" s="238"/>
      <c r="FZ19" s="238"/>
      <c r="GA19" s="238"/>
      <c r="GB19" s="238"/>
      <c r="GC19" s="238"/>
      <c r="GD19" s="238"/>
      <c r="GE19" s="238"/>
      <c r="GF19" s="238"/>
      <c r="GG19" s="238"/>
      <c r="GH19" s="238"/>
      <c r="GI19" s="238"/>
      <c r="GJ19" s="238"/>
      <c r="GK19" s="238"/>
      <c r="GL19" s="238"/>
      <c r="GM19" s="238"/>
      <c r="GN19" s="238"/>
      <c r="GO19" s="238"/>
      <c r="GP19" s="238"/>
      <c r="GQ19" s="238"/>
      <c r="GR19" s="238"/>
      <c r="GS19" s="238"/>
      <c r="GT19" s="238"/>
      <c r="GU19" s="238"/>
      <c r="GV19" s="238"/>
      <c r="GW19" s="238"/>
      <c r="GX19" s="238"/>
      <c r="GY19" s="238"/>
      <c r="GZ19" s="238"/>
      <c r="HA19" s="238"/>
      <c r="HB19" s="238"/>
      <c r="HC19" s="238"/>
      <c r="HD19" s="238"/>
      <c r="HE19" s="238"/>
      <c r="HF19" s="238"/>
      <c r="HG19" s="238"/>
      <c r="HH19" s="238"/>
      <c r="HI19" s="238"/>
      <c r="HJ19" s="238"/>
      <c r="HK19" s="238"/>
      <c r="HL19" s="238"/>
      <c r="HM19" s="238"/>
      <c r="HN19" s="238"/>
      <c r="HO19" s="238"/>
      <c r="HP19" s="238"/>
      <c r="HQ19" s="238"/>
      <c r="HR19" s="238"/>
      <c r="HS19" s="238"/>
      <c r="HT19" s="238"/>
      <c r="HU19" s="238"/>
      <c r="HV19" s="238"/>
      <c r="HW19" s="238"/>
      <c r="HX19" s="238"/>
      <c r="HY19" s="238"/>
      <c r="HZ19" s="238"/>
      <c r="IA19" s="238"/>
      <c r="IB19" s="238"/>
      <c r="IC19" s="238"/>
      <c r="ID19" s="238"/>
      <c r="IE19" s="238"/>
      <c r="IF19" s="238"/>
      <c r="IG19" s="238"/>
      <c r="IH19" s="238"/>
      <c r="II19" s="238"/>
      <c r="IJ19" s="238"/>
      <c r="IK19" s="238"/>
      <c r="IL19" s="238"/>
      <c r="IM19" s="238"/>
    </row>
    <row r="20" spans="1:247" ht="15.95" customHeight="1">
      <c r="A20" s="218" t="s">
        <v>68</v>
      </c>
      <c r="B20" s="1042">
        <f>'Exhibit J'!C21</f>
        <v>191.1</v>
      </c>
      <c r="C20" s="1042"/>
      <c r="D20" s="1608">
        <f>+'Exhibit J'!AB21</f>
        <v>191.1</v>
      </c>
      <c r="E20" s="1042"/>
      <c r="F20" s="1117">
        <v>0</v>
      </c>
      <c r="G20" s="1042"/>
      <c r="H20" s="1117">
        <v>0</v>
      </c>
      <c r="I20" s="2255"/>
      <c r="J20" s="2260">
        <f>ROUND(SUM(B20+F20),1)</f>
        <v>191.1</v>
      </c>
      <c r="K20" s="1131"/>
      <c r="L20" s="1608">
        <f>ROUND(SUM(D20)+SUM(H20),1)</f>
        <v>191.1</v>
      </c>
      <c r="M20" s="2257"/>
      <c r="N20" s="1740">
        <v>180.2</v>
      </c>
      <c r="O20" s="2796"/>
      <c r="P20" s="1740">
        <f>'Exhibit J'!AE21</f>
        <v>180.2</v>
      </c>
      <c r="Q20" s="1608"/>
      <c r="R20" s="2258"/>
      <c r="S20" s="1042">
        <f>ROUND(SUM(L20-P20),1)</f>
        <v>10.9</v>
      </c>
      <c r="T20" s="2259"/>
      <c r="U20" s="2316">
        <f>ROUND(+S20/P20,3)</f>
        <v>0.06</v>
      </c>
      <c r="V20" s="247"/>
      <c r="W20" s="240"/>
      <c r="X20" s="240"/>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38"/>
      <c r="EU20" s="238"/>
      <c r="EV20" s="238"/>
      <c r="EW20" s="238"/>
      <c r="EX20" s="238"/>
      <c r="EY20" s="238"/>
      <c r="EZ20" s="238"/>
      <c r="FA20" s="238"/>
      <c r="FB20" s="238"/>
      <c r="FC20" s="238"/>
      <c r="FD20" s="238"/>
      <c r="FE20" s="238"/>
      <c r="FF20" s="238"/>
      <c r="FG20" s="238"/>
      <c r="FH20" s="238"/>
      <c r="FI20" s="238"/>
      <c r="FJ20" s="238"/>
      <c r="FK20" s="238"/>
      <c r="FL20" s="238"/>
      <c r="FM20" s="238"/>
      <c r="FN20" s="238"/>
      <c r="FO20" s="238"/>
      <c r="FP20" s="238"/>
      <c r="FQ20" s="238"/>
      <c r="FR20" s="238"/>
      <c r="FS20" s="238"/>
      <c r="FT20" s="238"/>
      <c r="FU20" s="238"/>
      <c r="FV20" s="238"/>
      <c r="FW20" s="238"/>
      <c r="FX20" s="238"/>
      <c r="FY20" s="238"/>
      <c r="FZ20" s="238"/>
      <c r="GA20" s="238"/>
      <c r="GB20" s="238"/>
      <c r="GC20" s="238"/>
      <c r="GD20" s="238"/>
      <c r="GE20" s="238"/>
      <c r="GF20" s="238"/>
      <c r="GG20" s="238"/>
      <c r="GH20" s="238"/>
      <c r="GI20" s="238"/>
      <c r="GJ20" s="238"/>
      <c r="GK20" s="238"/>
      <c r="GL20" s="238"/>
      <c r="GM20" s="238"/>
      <c r="GN20" s="238"/>
      <c r="GO20" s="238"/>
      <c r="GP20" s="238"/>
      <c r="GQ20" s="238"/>
      <c r="GR20" s="238"/>
      <c r="GS20" s="238"/>
      <c r="GT20" s="238"/>
      <c r="GU20" s="238"/>
      <c r="GV20" s="238"/>
      <c r="GW20" s="238"/>
      <c r="GX20" s="238"/>
      <c r="GY20" s="238"/>
      <c r="GZ20" s="238"/>
      <c r="HA20" s="238"/>
      <c r="HB20" s="238"/>
      <c r="HC20" s="238"/>
      <c r="HD20" s="238"/>
      <c r="HE20" s="238"/>
      <c r="HF20" s="238"/>
      <c r="HG20" s="238"/>
      <c r="HH20" s="238"/>
      <c r="HI20" s="238"/>
      <c r="HJ20" s="238"/>
      <c r="HK20" s="238"/>
      <c r="HL20" s="238"/>
      <c r="HM20" s="238"/>
      <c r="HN20" s="238"/>
      <c r="HO20" s="238"/>
      <c r="HP20" s="238"/>
      <c r="HQ20" s="238"/>
      <c r="HR20" s="238"/>
      <c r="HS20" s="238"/>
      <c r="HT20" s="238"/>
      <c r="HU20" s="238"/>
      <c r="HV20" s="238"/>
      <c r="HW20" s="238"/>
      <c r="HX20" s="238"/>
      <c r="HY20" s="238"/>
      <c r="HZ20" s="238"/>
      <c r="IA20" s="238"/>
      <c r="IB20" s="238"/>
      <c r="IC20" s="238"/>
      <c r="ID20" s="238"/>
      <c r="IE20" s="238"/>
      <c r="IF20" s="238"/>
      <c r="IG20" s="238"/>
      <c r="IH20" s="238"/>
      <c r="II20" s="238"/>
      <c r="IJ20" s="238"/>
      <c r="IK20" s="238"/>
      <c r="IL20" s="238"/>
      <c r="IM20" s="238"/>
    </row>
    <row r="21" spans="1:247" ht="15.75">
      <c r="A21" s="216" t="s">
        <v>22</v>
      </c>
      <c r="B21" s="249">
        <f>ROUND(SUM(B18:B20),1)</f>
        <v>196</v>
      </c>
      <c r="C21" s="1587"/>
      <c r="D21" s="249">
        <f>ROUND(SUM(D18:D20),1)</f>
        <v>196</v>
      </c>
      <c r="E21" s="1587"/>
      <c r="F21" s="249">
        <f>ROUND(SUM(F18:F20),1)</f>
        <v>22.6</v>
      </c>
      <c r="G21" s="1587"/>
      <c r="H21" s="249">
        <f>ROUND(SUM(H18:H20),1)</f>
        <v>22.6</v>
      </c>
      <c r="I21" s="251"/>
      <c r="J21" s="249">
        <f>SUM(J18:J20)</f>
        <v>218.6</v>
      </c>
      <c r="K21" s="1587"/>
      <c r="L21" s="249">
        <f>SUM(L18:L20)</f>
        <v>218.6</v>
      </c>
      <c r="M21" s="252"/>
      <c r="N21" s="502">
        <f>ROUND(SUM(N18:N20),1)</f>
        <v>214</v>
      </c>
      <c r="O21" s="301"/>
      <c r="P21" s="502">
        <f>ROUND(SUM(P18:P20),1)</f>
        <v>214</v>
      </c>
      <c r="Q21" s="264"/>
      <c r="R21" s="617"/>
      <c r="S21" s="249">
        <f>ROUND(SUM(S18:S20),1)</f>
        <v>4.5999999999999996</v>
      </c>
      <c r="T21" s="1129"/>
      <c r="U21" s="2317">
        <f>ROUND(+S21/P21,3)</f>
        <v>2.1000000000000001E-2</v>
      </c>
      <c r="V21" s="247"/>
      <c r="W21" s="227"/>
      <c r="X21" s="227"/>
    </row>
    <row r="22" spans="1:247" ht="15.75">
      <c r="A22" s="216"/>
      <c r="B22" s="1042"/>
      <c r="C22" s="1042"/>
      <c r="D22" s="1042"/>
      <c r="E22" s="1042"/>
      <c r="F22" s="1042"/>
      <c r="G22" s="1042"/>
      <c r="H22" s="1042"/>
      <c r="I22" s="2256"/>
      <c r="J22" s="2256"/>
      <c r="K22" s="1042"/>
      <c r="L22" s="1042"/>
      <c r="M22" s="2256"/>
      <c r="N22" s="1740"/>
      <c r="O22" s="1544"/>
      <c r="P22" s="1740"/>
      <c r="Q22" s="1608"/>
      <c r="R22" s="2258"/>
      <c r="S22" s="1583"/>
      <c r="T22" s="2261"/>
      <c r="U22" s="2318"/>
      <c r="V22" s="236"/>
      <c r="W22" s="227"/>
      <c r="X22" s="227"/>
    </row>
    <row r="23" spans="1:247" ht="15.95" customHeight="1">
      <c r="A23" s="216" t="s">
        <v>23</v>
      </c>
      <c r="B23" s="1042"/>
      <c r="C23" s="1042"/>
      <c r="D23" s="1042"/>
      <c r="E23" s="1042"/>
      <c r="F23" s="1042"/>
      <c r="G23" s="1042"/>
      <c r="H23" s="1042"/>
      <c r="I23" s="2256"/>
      <c r="J23" s="2256"/>
      <c r="K23" s="1042"/>
      <c r="L23" s="1042"/>
      <c r="M23" s="2256"/>
      <c r="N23" s="1740"/>
      <c r="O23" s="1544"/>
      <c r="P23" s="1740"/>
      <c r="Q23" s="1608"/>
      <c r="R23" s="2258"/>
      <c r="S23" s="1583"/>
      <c r="T23" s="2261"/>
      <c r="U23" s="2318"/>
      <c r="V23" s="236"/>
      <c r="W23" s="227"/>
      <c r="X23" s="227"/>
    </row>
    <row r="24" spans="1:247" ht="15.95" customHeight="1">
      <c r="A24" s="218" t="s">
        <v>36</v>
      </c>
      <c r="B24" s="1042"/>
      <c r="C24" s="1042"/>
      <c r="D24" s="1042"/>
      <c r="E24" s="1042"/>
      <c r="F24" s="1042"/>
      <c r="G24" s="1042"/>
      <c r="H24" s="1042"/>
      <c r="I24" s="2256"/>
      <c r="J24" s="2256"/>
      <c r="K24" s="1042"/>
      <c r="L24" s="1042"/>
      <c r="M24" s="2256"/>
      <c r="N24" s="1740"/>
      <c r="O24" s="1544"/>
      <c r="P24" s="1740"/>
      <c r="Q24" s="1608"/>
      <c r="R24" s="2258"/>
      <c r="S24" s="1583"/>
      <c r="T24" s="2261"/>
      <c r="U24" s="2318"/>
      <c r="V24" s="236"/>
      <c r="W24" s="227"/>
      <c r="X24" s="227"/>
    </row>
    <row r="25" spans="1:247" ht="15.95" customHeight="1">
      <c r="A25" s="218" t="s">
        <v>69</v>
      </c>
      <c r="B25" s="1042">
        <f>'Exhibit J'!C29</f>
        <v>0.4</v>
      </c>
      <c r="C25" s="1042"/>
      <c r="D25" s="1608">
        <f>+'Exhibit J'!AB29</f>
        <v>0.4</v>
      </c>
      <c r="E25" s="1042"/>
      <c r="F25" s="1042">
        <f>'Exhibit K'!B25</f>
        <v>8.1</v>
      </c>
      <c r="G25" s="1042"/>
      <c r="H25" s="1042">
        <f>+'Exhibit K'!AA25</f>
        <v>8.1</v>
      </c>
      <c r="I25" s="2256"/>
      <c r="J25" s="2256">
        <f>ROUND(SUM(B25)+SUM(F25),1)</f>
        <v>8.5</v>
      </c>
      <c r="K25" s="1042"/>
      <c r="L25" s="1608">
        <f>ROUND(SUM(D25)+SUM(H25),1)</f>
        <v>8.5</v>
      </c>
      <c r="M25" s="2256"/>
      <c r="N25" s="1740">
        <v>7.8999999999999995</v>
      </c>
      <c r="O25" s="1740"/>
      <c r="P25" s="1740">
        <f>'Exhibit J'!AE29+'Exhibit K'!AD25</f>
        <v>7.9</v>
      </c>
      <c r="Q25" s="1608"/>
      <c r="R25" s="2258"/>
      <c r="S25" s="1042">
        <f>ROUND(SUM(L25-P25),1)</f>
        <v>0.6</v>
      </c>
      <c r="T25" s="1129"/>
      <c r="U25" s="2316">
        <f>ROUND(+S25/P25,3)</f>
        <v>7.5999999999999998E-2</v>
      </c>
      <c r="V25" s="236"/>
      <c r="W25" s="227"/>
      <c r="X25" s="227"/>
    </row>
    <row r="26" spans="1:247" ht="15.95" customHeight="1">
      <c r="A26" s="218" t="s">
        <v>70</v>
      </c>
      <c r="B26" s="1042">
        <f>'Exhibit J'!C30</f>
        <v>2.4</v>
      </c>
      <c r="C26" s="1042"/>
      <c r="D26" s="1608">
        <f>+'Exhibit J'!AB30</f>
        <v>2.4</v>
      </c>
      <c r="E26" s="1042"/>
      <c r="F26" s="1042">
        <f>'Exhibit K'!B26</f>
        <v>48</v>
      </c>
      <c r="G26" s="1042"/>
      <c r="H26" s="1042">
        <f>+'Exhibit K'!AA26</f>
        <v>48</v>
      </c>
      <c r="I26" s="2256"/>
      <c r="J26" s="2256">
        <f>ROUND(SUM(B26)+SUM(F26),1)</f>
        <v>50.4</v>
      </c>
      <c r="K26" s="1042"/>
      <c r="L26" s="1608">
        <f>ROUND(SUM(D26)+SUM(H26),1)</f>
        <v>50.4</v>
      </c>
      <c r="M26" s="2256"/>
      <c r="N26" s="1740">
        <v>85.600000000000009</v>
      </c>
      <c r="O26" s="1740"/>
      <c r="P26" s="1740">
        <f>'Exhibit J'!AE30+'Exhibit K'!AD26</f>
        <v>85.600000000000009</v>
      </c>
      <c r="Q26" s="1608"/>
      <c r="R26" s="2258"/>
      <c r="S26" s="1042">
        <f>ROUND(SUM(L26-P26),1)</f>
        <v>-35.200000000000003</v>
      </c>
      <c r="T26" s="1129"/>
      <c r="U26" s="2316">
        <f>ROUND(+S26/P26,3)</f>
        <v>-0.41099999999999998</v>
      </c>
      <c r="V26" s="236"/>
      <c r="W26" s="227"/>
      <c r="X26" s="227"/>
    </row>
    <row r="27" spans="1:247" ht="15.95" customHeight="1">
      <c r="A27" s="218" t="s">
        <v>71</v>
      </c>
      <c r="B27" s="1042">
        <f>'Exhibit J'!C31</f>
        <v>0</v>
      </c>
      <c r="C27" s="1042"/>
      <c r="D27" s="1608">
        <f>+'Exhibit J'!AB31</f>
        <v>0</v>
      </c>
      <c r="E27" s="1608"/>
      <c r="F27" s="1042">
        <f>'Exhibit K'!B27</f>
        <v>0.2</v>
      </c>
      <c r="G27" s="1042"/>
      <c r="H27" s="2262">
        <f>+'Exhibit K'!AA27</f>
        <v>0.2</v>
      </c>
      <c r="I27" s="1608"/>
      <c r="J27" s="2256">
        <f>ROUND(SUM(B27)+SUM(F27),1)</f>
        <v>0.2</v>
      </c>
      <c r="K27" s="1042"/>
      <c r="L27" s="1608">
        <f>ROUND(SUM(D27)+SUM(H27),1)</f>
        <v>0.2</v>
      </c>
      <c r="M27" s="2256"/>
      <c r="N27" s="1740">
        <v>0</v>
      </c>
      <c r="O27" s="2796"/>
      <c r="P27" s="1740">
        <f>'Exhibit J'!AE31+'Exhibit K'!AD27</f>
        <v>0</v>
      </c>
      <c r="Q27" s="1608"/>
      <c r="R27" s="2258"/>
      <c r="S27" s="1042">
        <f>ROUND(SUM(L27-P27),1)</f>
        <v>0.2</v>
      </c>
      <c r="T27" s="1129"/>
      <c r="U27" s="2250">
        <f>ROUND(IF(P27=0,1,S27/ABS(P27)),3)</f>
        <v>1</v>
      </c>
      <c r="V27" s="236"/>
      <c r="W27" s="227"/>
      <c r="X27" s="227"/>
    </row>
    <row r="28" spans="1:247" ht="15.75" customHeight="1">
      <c r="A28" s="1443" t="s">
        <v>72</v>
      </c>
      <c r="B28" s="1042">
        <f>'Exhibit J'!C32</f>
        <v>192.1</v>
      </c>
      <c r="C28" s="1042"/>
      <c r="D28" s="1608">
        <f>+'Exhibit J'!AB32</f>
        <v>192.1</v>
      </c>
      <c r="E28" s="1042"/>
      <c r="F28" s="1611">
        <v>0</v>
      </c>
      <c r="G28" s="1042"/>
      <c r="H28" s="2264">
        <v>0</v>
      </c>
      <c r="I28" s="1608"/>
      <c r="J28" s="2256">
        <f>ROUND(SUM(B28)+SUM(F28),1)</f>
        <v>192.1</v>
      </c>
      <c r="K28" s="1999"/>
      <c r="L28" s="1608">
        <f>ROUND(SUM(D28)+SUM(H28),1)</f>
        <v>192.1</v>
      </c>
      <c r="M28" s="2265"/>
      <c r="N28" s="1740">
        <v>181.5</v>
      </c>
      <c r="O28" s="1747"/>
      <c r="P28" s="2828">
        <f>'Exhibit J'!AE32</f>
        <v>181.5</v>
      </c>
      <c r="Q28" s="1674"/>
      <c r="R28" s="2266"/>
      <c r="S28" s="1042">
        <f>ROUND(SUM(L28-P28),1)</f>
        <v>10.6</v>
      </c>
      <c r="T28" s="1129"/>
      <c r="U28" s="2316">
        <f>ROUND(+S28/P28,3)</f>
        <v>5.8000000000000003E-2</v>
      </c>
      <c r="V28" s="247"/>
      <c r="W28" s="227"/>
      <c r="X28" s="227"/>
    </row>
    <row r="29" spans="1:247" ht="15.75">
      <c r="A29" s="216" t="s">
        <v>59</v>
      </c>
      <c r="B29" s="249">
        <f>ROUND(SUM(B25:B28),1)</f>
        <v>194.9</v>
      </c>
      <c r="C29" s="1587"/>
      <c r="D29" s="249">
        <f>ROUND(SUM(D25:D28),1)</f>
        <v>194.9</v>
      </c>
      <c r="E29" s="1587"/>
      <c r="F29" s="249">
        <f>ROUND(SUM(F24:F28),1)</f>
        <v>56.3</v>
      </c>
      <c r="G29" s="1587"/>
      <c r="H29" s="249">
        <f>ROUND(SUM(H25:H28),1)</f>
        <v>56.3</v>
      </c>
      <c r="I29" s="251"/>
      <c r="J29" s="259">
        <f>ROUND(SUM(J25:J28),1)</f>
        <v>251.2</v>
      </c>
      <c r="K29" s="1587"/>
      <c r="L29" s="260">
        <f>ROUND(SUM(L25:L28),1)</f>
        <v>251.2</v>
      </c>
      <c r="M29" s="252"/>
      <c r="N29" s="502">
        <f>ROUND(SUM(N25:N28),1)</f>
        <v>275</v>
      </c>
      <c r="O29" s="301"/>
      <c r="P29" s="502">
        <f>ROUND(SUM(P25:P28),1)</f>
        <v>275</v>
      </c>
      <c r="Q29" s="264"/>
      <c r="R29" s="617"/>
      <c r="S29" s="249">
        <f>ROUND(SUM(S25:S28),1)</f>
        <v>-23.8</v>
      </c>
      <c r="T29" s="1129"/>
      <c r="U29" s="2319">
        <f>ROUND(+S29/P29,3)</f>
        <v>-8.6999999999999994E-2</v>
      </c>
      <c r="V29" s="247"/>
      <c r="W29" s="227"/>
      <c r="X29" s="227"/>
    </row>
    <row r="30" spans="1:247" ht="15.75">
      <c r="A30" s="216"/>
      <c r="B30" s="1042"/>
      <c r="C30" s="1042"/>
      <c r="D30" s="1042"/>
      <c r="E30" s="1042"/>
      <c r="F30" s="1042"/>
      <c r="G30" s="1042"/>
      <c r="H30" s="1042"/>
      <c r="I30" s="2256"/>
      <c r="J30" s="2256"/>
      <c r="K30" s="1042"/>
      <c r="L30" s="1042"/>
      <c r="M30" s="2256"/>
      <c r="N30" s="1740"/>
      <c r="O30" s="1544"/>
      <c r="P30" s="1740"/>
      <c r="Q30" s="1608"/>
      <c r="R30" s="2258"/>
      <c r="S30" s="1583"/>
      <c r="T30" s="2261"/>
      <c r="U30" s="2318"/>
      <c r="V30" s="236"/>
      <c r="W30" s="227"/>
      <c r="X30" s="227"/>
    </row>
    <row r="31" spans="1:247" ht="15.95" customHeight="1">
      <c r="A31" s="216" t="s">
        <v>44</v>
      </c>
      <c r="B31" s="1042"/>
      <c r="C31" s="1042"/>
      <c r="D31" s="1042"/>
      <c r="E31" s="1042"/>
      <c r="F31" s="1042"/>
      <c r="G31" s="1042"/>
      <c r="H31" s="1042"/>
      <c r="I31" s="2256"/>
      <c r="J31" s="2256"/>
      <c r="K31" s="1042"/>
      <c r="L31" s="1042"/>
      <c r="M31" s="2256"/>
      <c r="N31" s="1740"/>
      <c r="O31" s="1544"/>
      <c r="P31" s="1740"/>
      <c r="Q31" s="1608"/>
      <c r="R31" s="2258"/>
      <c r="S31" s="1583"/>
      <c r="T31" s="2261"/>
      <c r="U31" s="2318"/>
      <c r="V31" s="236"/>
      <c r="W31" s="227"/>
      <c r="X31" s="227"/>
    </row>
    <row r="32" spans="1:247" ht="15.75">
      <c r="A32" s="216" t="s">
        <v>73</v>
      </c>
      <c r="B32" s="261">
        <f>ROUND(SUM(B21-B29),1)</f>
        <v>1.1000000000000001</v>
      </c>
      <c r="C32" s="1587"/>
      <c r="D32" s="262">
        <f>ROUND(SUM(D21-D29),1)</f>
        <v>1.1000000000000001</v>
      </c>
      <c r="E32" s="1587"/>
      <c r="F32" s="262">
        <f>ROUND(SUM(F21-F29),1)</f>
        <v>-33.700000000000003</v>
      </c>
      <c r="G32" s="1587"/>
      <c r="H32" s="262">
        <f>ROUND(SUM(H21-H29),1)</f>
        <v>-33.700000000000003</v>
      </c>
      <c r="I32" s="252"/>
      <c r="J32" s="263">
        <f>ROUND(SUM(J21-J29),1)</f>
        <v>-32.6</v>
      </c>
      <c r="K32" s="1587"/>
      <c r="L32" s="262">
        <f>ROUND(SUM(L21-L29),1)</f>
        <v>-32.6</v>
      </c>
      <c r="M32" s="252"/>
      <c r="N32" s="302">
        <f>ROUND(SUM(N21-N29),1)</f>
        <v>-61</v>
      </c>
      <c r="O32" s="304"/>
      <c r="P32" s="302">
        <f>ROUND(SUM(P21-P29),1)</f>
        <v>-61</v>
      </c>
      <c r="Q32" s="264"/>
      <c r="R32" s="617"/>
      <c r="S32" s="262">
        <f>ROUND(SUM(S21-S29),1)</f>
        <v>28.4</v>
      </c>
      <c r="T32" s="2261"/>
      <c r="U32" s="2682">
        <f>-ROUND(+S32/P32,3)</f>
        <v>0.46600000000000003</v>
      </c>
      <c r="V32" s="236"/>
      <c r="W32" s="227"/>
      <c r="X32" s="227"/>
    </row>
    <row r="33" spans="1:247">
      <c r="A33" s="218"/>
      <c r="B33" s="1042"/>
      <c r="C33" s="1042"/>
      <c r="D33" s="1042"/>
      <c r="E33" s="1042"/>
      <c r="F33" s="1042"/>
      <c r="G33" s="1042"/>
      <c r="H33" s="1042"/>
      <c r="I33" s="2256"/>
      <c r="J33" s="2256"/>
      <c r="K33" s="1042"/>
      <c r="L33" s="1042"/>
      <c r="M33" s="2256"/>
      <c r="N33" s="1740"/>
      <c r="O33" s="1544"/>
      <c r="P33" s="1740"/>
      <c r="Q33" s="1608"/>
      <c r="R33" s="2258"/>
      <c r="S33" s="1583"/>
      <c r="T33" s="2261"/>
      <c r="U33" s="2318"/>
      <c r="V33" s="236"/>
      <c r="W33" s="227"/>
      <c r="X33" s="227"/>
    </row>
    <row r="34" spans="1:247" ht="15.95" customHeight="1">
      <c r="A34" s="216" t="s">
        <v>46</v>
      </c>
      <c r="B34" s="1042"/>
      <c r="C34" s="1042"/>
      <c r="D34" s="1042"/>
      <c r="E34" s="1042"/>
      <c r="F34" s="1042"/>
      <c r="G34" s="1042"/>
      <c r="H34" s="1042"/>
      <c r="I34" s="2256"/>
      <c r="J34" s="2256"/>
      <c r="K34" s="1042"/>
      <c r="L34" s="1042"/>
      <c r="M34" s="2256"/>
      <c r="N34" s="1740"/>
      <c r="O34" s="1544"/>
      <c r="P34" s="1740"/>
      <c r="Q34" s="1608"/>
      <c r="R34" s="2258"/>
      <c r="S34" s="1583"/>
      <c r="T34" s="2261"/>
      <c r="U34" s="2318"/>
      <c r="V34" s="236"/>
      <c r="W34" s="227"/>
      <c r="X34" s="227"/>
    </row>
    <row r="35" spans="1:247" ht="15.95" customHeight="1">
      <c r="A35" s="218" t="s">
        <v>48</v>
      </c>
      <c r="B35" s="1611">
        <f>+'Exhibit J'!C44</f>
        <v>0</v>
      </c>
      <c r="C35" s="1042"/>
      <c r="D35" s="1611">
        <f>+'Exhibit J'!AB44</f>
        <v>0</v>
      </c>
      <c r="E35" s="1042"/>
      <c r="F35" s="1042">
        <f>'Exhibit K'!B39</f>
        <v>2.6</v>
      </c>
      <c r="G35" s="1188"/>
      <c r="H35" s="2267">
        <f>+'Exhibit K'!AA39</f>
        <v>2.6</v>
      </c>
      <c r="I35" s="2256"/>
      <c r="J35" s="2256">
        <f>ROUND(SUM(B35)+SUM(F35),1)</f>
        <v>2.6</v>
      </c>
      <c r="K35" s="1188"/>
      <c r="L35" s="2262">
        <f>ROUND(SUM(D35)+SUM(H35),1)</f>
        <v>2.6</v>
      </c>
      <c r="M35" s="1608"/>
      <c r="N35" s="1740">
        <v>1.8</v>
      </c>
      <c r="O35" s="1740"/>
      <c r="P35" s="2829">
        <f>'Exhibit J'!AE44+'Exhibit K'!AD39</f>
        <v>1.8</v>
      </c>
      <c r="Q35" s="2263"/>
      <c r="R35" s="2268"/>
      <c r="S35" s="1042">
        <f>ROUND(SUM(L35-P35),1)</f>
        <v>0.8</v>
      </c>
      <c r="T35" s="1129"/>
      <c r="U35" s="2250">
        <f>ROUND(IF(S35=0,0,S35/(P35)),3)</f>
        <v>0.44400000000000001</v>
      </c>
      <c r="V35" s="269"/>
      <c r="W35" s="227"/>
      <c r="X35" s="227"/>
    </row>
    <row r="36" spans="1:247" ht="15.95" customHeight="1">
      <c r="A36" s="218" t="s">
        <v>74</v>
      </c>
      <c r="B36" s="2269">
        <f>+'Exhibit J'!C45</f>
        <v>0</v>
      </c>
      <c r="C36" s="1545"/>
      <c r="D36" s="2270">
        <f>+'Exhibit J'!AB45</f>
        <v>0</v>
      </c>
      <c r="E36" s="1042"/>
      <c r="F36" s="1042">
        <f>'Exhibit K'!B40</f>
        <v>0</v>
      </c>
      <c r="G36" s="1042"/>
      <c r="H36" s="2267">
        <f>+'Exhibit K'!AA40</f>
        <v>0</v>
      </c>
      <c r="I36" s="2271"/>
      <c r="J36" s="2256">
        <f>ROUND(SUM(B36)+SUM(F36),1)</f>
        <v>0</v>
      </c>
      <c r="K36" s="1042"/>
      <c r="L36" s="1608">
        <f>ROUND(SUM(D36)+SUM(H36),1)</f>
        <v>0</v>
      </c>
      <c r="M36" s="2256"/>
      <c r="N36" s="1740">
        <v>0</v>
      </c>
      <c r="O36" s="2796"/>
      <c r="P36" s="2829">
        <f>'Exhibit J'!AE45+'Exhibit K'!AD40</f>
        <v>0</v>
      </c>
      <c r="Q36" s="2263"/>
      <c r="R36" s="2268"/>
      <c r="S36" s="3537">
        <f>ROUND(SUM(L36-P36),1)*-1</f>
        <v>0</v>
      </c>
      <c r="T36" s="1129"/>
      <c r="U36" s="2250">
        <f>ROUND(IF(S36=0,0,S36/ABS(P36)),3)</f>
        <v>0</v>
      </c>
      <c r="V36" s="268"/>
      <c r="W36" s="227"/>
      <c r="X36" s="227"/>
    </row>
    <row r="37" spans="1:247" ht="15.75">
      <c r="A37" s="216" t="s">
        <v>50</v>
      </c>
      <c r="B37" s="270">
        <f>ROUND(SUM(B35:B36),1)</f>
        <v>0</v>
      </c>
      <c r="C37" s="271"/>
      <c r="D37" s="270">
        <f>ROUND(SUM(D35:D36),1)</f>
        <v>0</v>
      </c>
      <c r="E37" s="1587"/>
      <c r="F37" s="272">
        <f>ROUND(SUM(F35:F36),1)</f>
        <v>2.6</v>
      </c>
      <c r="G37" s="273"/>
      <c r="H37" s="274">
        <f>ROUND(SUM(H35:H36),1)</f>
        <v>2.6</v>
      </c>
      <c r="I37" s="264"/>
      <c r="J37" s="275">
        <f>ROUND(SUM(J35:J36),1)</f>
        <v>2.6</v>
      </c>
      <c r="K37" s="273"/>
      <c r="L37" s="274">
        <f>ROUND(SUM(L35:L36),1)</f>
        <v>2.6</v>
      </c>
      <c r="M37" s="252"/>
      <c r="N37" s="2831">
        <f>ROUND(SUM(N35:N36),1)</f>
        <v>1.8</v>
      </c>
      <c r="O37" s="301"/>
      <c r="P37" s="2831">
        <f>ROUND(SUM(P35:P36),1)</f>
        <v>1.8</v>
      </c>
      <c r="Q37" s="1684"/>
      <c r="R37" s="1694"/>
      <c r="S37" s="272">
        <f>L37-P37</f>
        <v>0.8</v>
      </c>
      <c r="T37" s="2272"/>
      <c r="U37" s="503">
        <f>ROUND(SUM(S37/P37),3)</f>
        <v>0.44400000000000001</v>
      </c>
      <c r="V37" s="276"/>
      <c r="W37" s="227"/>
      <c r="X37" s="227"/>
    </row>
    <row r="38" spans="1:247" ht="15.75">
      <c r="A38" s="216"/>
      <c r="B38" s="1210"/>
      <c r="C38" s="1042"/>
      <c r="D38" s="1210"/>
      <c r="E38" s="1042"/>
      <c r="F38" s="1608"/>
      <c r="G38" s="1042"/>
      <c r="H38" s="1608"/>
      <c r="I38" s="2256"/>
      <c r="J38" s="2256"/>
      <c r="K38" s="1042"/>
      <c r="L38" s="1210"/>
      <c r="M38" s="2256"/>
      <c r="N38" s="1740"/>
      <c r="O38" s="1544"/>
      <c r="P38" s="1740"/>
      <c r="Q38" s="1608"/>
      <c r="R38" s="2258"/>
      <c r="S38" s="1583"/>
      <c r="T38" s="2261"/>
      <c r="U38" s="1454"/>
      <c r="V38" s="236"/>
      <c r="W38" s="227"/>
      <c r="X38" s="227"/>
    </row>
    <row r="39" spans="1:247" ht="15.75" customHeight="1">
      <c r="A39" s="216" t="s">
        <v>44</v>
      </c>
      <c r="B39" s="1042"/>
      <c r="C39" s="1042"/>
      <c r="D39" s="1042"/>
      <c r="E39" s="1042"/>
      <c r="F39" s="1042"/>
      <c r="G39" s="1042"/>
      <c r="H39" s="1042"/>
      <c r="I39" s="2256"/>
      <c r="J39" s="2256"/>
      <c r="K39" s="1042"/>
      <c r="L39" s="1042"/>
      <c r="M39" s="2256"/>
      <c r="N39" s="1740"/>
      <c r="O39" s="1544"/>
      <c r="P39" s="1740"/>
      <c r="Q39" s="1608"/>
      <c r="R39" s="2258"/>
      <c r="S39" s="1583"/>
      <c r="T39" s="2261"/>
      <c r="U39" s="1454"/>
      <c r="V39" s="236"/>
      <c r="W39" s="227"/>
      <c r="X39" s="227"/>
    </row>
    <row r="40" spans="1:247" ht="15.75" customHeight="1">
      <c r="A40" s="216" t="s">
        <v>75</v>
      </c>
      <c r="B40" s="1042"/>
      <c r="C40" s="1042"/>
      <c r="D40" s="1042"/>
      <c r="E40" s="1042"/>
      <c r="F40" s="1042"/>
      <c r="G40" s="1042"/>
      <c r="H40" s="1042"/>
      <c r="I40" s="2256"/>
      <c r="J40" s="2256"/>
      <c r="K40" s="1042"/>
      <c r="L40" s="1042"/>
      <c r="M40" s="2256"/>
      <c r="N40" s="1740"/>
      <c r="O40" s="1544"/>
      <c r="P40" s="1740"/>
      <c r="Q40" s="1608"/>
      <c r="R40" s="2258"/>
      <c r="S40" s="1583"/>
      <c r="T40" s="2261"/>
      <c r="U40" s="1454"/>
      <c r="V40" s="236"/>
      <c r="W40" s="227"/>
      <c r="X40" s="227"/>
    </row>
    <row r="41" spans="1:247" ht="15.75" customHeight="1">
      <c r="A41" s="216" t="s">
        <v>76</v>
      </c>
      <c r="B41" s="1042"/>
      <c r="C41" s="1042"/>
      <c r="D41" s="1042"/>
      <c r="E41" s="1042"/>
      <c r="F41" s="1042"/>
      <c r="G41" s="1042"/>
      <c r="H41" s="1042"/>
      <c r="I41" s="2256"/>
      <c r="J41" s="2256"/>
      <c r="K41" s="1042"/>
      <c r="L41" s="1042"/>
      <c r="M41" s="2256"/>
      <c r="N41" s="1740"/>
      <c r="O41" s="1544"/>
      <c r="P41" s="1740"/>
      <c r="Q41" s="1608"/>
      <c r="R41" s="2258"/>
      <c r="S41" s="1583"/>
      <c r="T41" s="2261"/>
      <c r="U41" s="1454"/>
      <c r="V41" s="236"/>
      <c r="W41" s="227"/>
      <c r="X41" s="227"/>
    </row>
    <row r="42" spans="1:247" ht="15.75" customHeight="1">
      <c r="A42" s="216" t="s">
        <v>77</v>
      </c>
      <c r="B42" s="278">
        <f>ROUND(SUM(B32,B37),1)</f>
        <v>1.1000000000000001</v>
      </c>
      <c r="C42" s="1587"/>
      <c r="D42" s="278">
        <f>ROUND(SUM(D32,D37),1)</f>
        <v>1.1000000000000001</v>
      </c>
      <c r="E42" s="1587"/>
      <c r="F42" s="278">
        <f>ROUND(SUM(F32,F37),1)</f>
        <v>-31.1</v>
      </c>
      <c r="G42" s="1587"/>
      <c r="H42" s="278">
        <f>ROUND(SUM(H32,H37),1)</f>
        <v>-31.1</v>
      </c>
      <c r="I42" s="279"/>
      <c r="J42" s="278">
        <f>ROUND(SUM(J32,J37),1)</f>
        <v>-30</v>
      </c>
      <c r="K42" s="1587"/>
      <c r="L42" s="278">
        <f>ROUND(SUM(L32,L37),1)</f>
        <v>-30</v>
      </c>
      <c r="M42" s="252"/>
      <c r="N42" s="2671">
        <f>ROUND(SUM(N32,N37),1)</f>
        <v>-59.2</v>
      </c>
      <c r="O42" s="301"/>
      <c r="P42" s="2671">
        <f>ROUND(SUM(P32,P37),1)</f>
        <v>-59.2</v>
      </c>
      <c r="Q42" s="278"/>
      <c r="R42" s="1695"/>
      <c r="S42" s="278">
        <f>ROUND(SUM(S32,S37),1)</f>
        <v>29.2</v>
      </c>
      <c r="T42" s="280"/>
      <c r="U42" s="2410">
        <f>-ROUND(S42/P42,3)</f>
        <v>0.49299999999999999</v>
      </c>
      <c r="V42" s="236"/>
      <c r="W42" s="227"/>
      <c r="X42" s="227"/>
    </row>
    <row r="43" spans="1:247" ht="15.75">
      <c r="A43" s="216"/>
      <c r="B43" s="1042"/>
      <c r="C43" s="1042"/>
      <c r="D43" s="1042"/>
      <c r="E43" s="1042"/>
      <c r="F43" s="1042"/>
      <c r="G43" s="1042"/>
      <c r="H43" s="1042"/>
      <c r="I43" s="2256"/>
      <c r="J43" s="2256"/>
      <c r="K43" s="1042"/>
      <c r="L43" s="1042"/>
      <c r="M43" s="2256"/>
      <c r="N43" s="1740"/>
      <c r="O43" s="1544"/>
      <c r="P43" s="1740"/>
      <c r="Q43" s="1608"/>
      <c r="R43" s="2258"/>
      <c r="S43" s="1583"/>
      <c r="T43" s="2261"/>
      <c r="U43" s="1583"/>
      <c r="V43" s="236"/>
      <c r="W43" s="227"/>
      <c r="X43" s="227"/>
    </row>
    <row r="44" spans="1:247" s="253" customFormat="1" ht="15.75">
      <c r="A44" s="216" t="s">
        <v>78</v>
      </c>
      <c r="B44" s="1587">
        <f>+'Exhibit J'!C16</f>
        <v>24.6</v>
      </c>
      <c r="C44" s="1587"/>
      <c r="D44" s="1587">
        <f>+'Exhibit J'!AB16</f>
        <v>24.6</v>
      </c>
      <c r="E44" s="1587"/>
      <c r="F44" s="1587">
        <f>+'Exhibit K'!B14</f>
        <v>-269.2</v>
      </c>
      <c r="G44" s="1587"/>
      <c r="H44" s="1587">
        <f>+'Exhibit K'!AA14</f>
        <v>-269.2</v>
      </c>
      <c r="I44" s="252"/>
      <c r="J44" s="252">
        <f>ROUND(SUM(B44)+SUM(F44),1)</f>
        <v>-244.6</v>
      </c>
      <c r="K44" s="1587"/>
      <c r="L44" s="1587">
        <f>ROUND(SUM(D44)+SUM(H44),1)</f>
        <v>-244.6</v>
      </c>
      <c r="M44" s="252"/>
      <c r="N44" s="309">
        <v>-176.8</v>
      </c>
      <c r="O44" s="301"/>
      <c r="P44" s="302">
        <f>'Exhibit J'!AE16+'Exhibit K'!AD14</f>
        <v>-176.8</v>
      </c>
      <c r="Q44" s="264"/>
      <c r="R44" s="617"/>
      <c r="S44" s="1587">
        <f>ROUND(SUM(L44-P44),1)</f>
        <v>-67.8</v>
      </c>
      <c r="T44" s="280"/>
      <c r="U44" s="2410">
        <f>-ROUND(SUM(S44/P44),3)</f>
        <v>-0.38300000000000001</v>
      </c>
      <c r="V44" s="280"/>
      <c r="W44" s="281"/>
      <c r="X44" s="281"/>
    </row>
    <row r="45" spans="1:247" ht="16.5" thickBot="1">
      <c r="A45" s="216" t="s">
        <v>79</v>
      </c>
      <c r="B45" s="282">
        <f>ROUND(SUM(B42+B44),1)</f>
        <v>25.7</v>
      </c>
      <c r="C45" s="283"/>
      <c r="D45" s="282">
        <f>ROUND(SUM(D42+D44),1)</f>
        <v>25.7</v>
      </c>
      <c r="E45" s="283"/>
      <c r="F45" s="282">
        <f>ROUND(SUM(F42+F44),1)</f>
        <v>-300.3</v>
      </c>
      <c r="G45" s="283"/>
      <c r="H45" s="282">
        <f>ROUND(SUM(H42+H44),1)</f>
        <v>-300.3</v>
      </c>
      <c r="I45" s="284"/>
      <c r="J45" s="285">
        <f>ROUND(SUM(J42+J44),1)</f>
        <v>-274.60000000000002</v>
      </c>
      <c r="K45" s="283"/>
      <c r="L45" s="286">
        <f>ROUND(SUM(L42+L44),1)</f>
        <v>-274.60000000000002</v>
      </c>
      <c r="M45" s="284"/>
      <c r="N45" s="2384">
        <f>ROUND(SUM(N42+N44),1)</f>
        <v>-236</v>
      </c>
      <c r="O45" s="324"/>
      <c r="P45" s="2384">
        <f>ROUND(SUM(P42+P44),1)</f>
        <v>-236</v>
      </c>
      <c r="Q45" s="410"/>
      <c r="R45" s="609"/>
      <c r="S45" s="287">
        <f>ROUND(SUM(S42+S44),1)</f>
        <v>-38.6</v>
      </c>
      <c r="T45" s="2011"/>
      <c r="U45" s="2368">
        <f>ROUND(SUM(S45/ABS(P45)),3)</f>
        <v>-0.16400000000000001</v>
      </c>
      <c r="V45" s="239"/>
      <c r="W45" s="227"/>
      <c r="X45" s="227"/>
    </row>
    <row r="46" spans="1:247" ht="3.95" customHeight="1" thickTop="1">
      <c r="A46" s="218"/>
      <c r="B46" s="2273"/>
      <c r="C46" s="1591"/>
      <c r="D46" s="2273"/>
      <c r="E46" s="1591"/>
      <c r="F46" s="2273"/>
      <c r="G46" s="1591"/>
      <c r="H46" s="2273"/>
      <c r="I46" s="1591"/>
      <c r="J46" s="2273"/>
      <c r="K46" s="1591"/>
      <c r="L46" s="2273"/>
      <c r="M46" s="1591"/>
      <c r="N46" s="1735"/>
      <c r="O46" s="1733"/>
      <c r="P46" s="1735"/>
      <c r="Q46" s="2011"/>
      <c r="R46" s="2011"/>
      <c r="S46" s="1591"/>
      <c r="T46" s="2274"/>
      <c r="U46" s="2275"/>
      <c r="V46" s="289"/>
      <c r="W46" s="240"/>
      <c r="X46" s="240"/>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238"/>
      <c r="CO46" s="238"/>
      <c r="CP46" s="238"/>
      <c r="CQ46" s="238"/>
      <c r="CR46" s="238"/>
      <c r="CS46" s="238"/>
      <c r="CT46" s="238"/>
      <c r="CU46" s="238"/>
      <c r="CV46" s="238"/>
      <c r="CW46" s="238"/>
      <c r="CX46" s="238"/>
      <c r="CY46" s="238"/>
      <c r="CZ46" s="238"/>
      <c r="DA46" s="238"/>
      <c r="DB46" s="238"/>
      <c r="DC46" s="238"/>
      <c r="DD46" s="238"/>
      <c r="DE46" s="238"/>
      <c r="DF46" s="238"/>
      <c r="DG46" s="238"/>
      <c r="DH46" s="238"/>
      <c r="DI46" s="238"/>
      <c r="DJ46" s="238"/>
      <c r="DK46" s="238"/>
      <c r="DL46" s="238"/>
      <c r="DM46" s="238"/>
      <c r="DN46" s="238"/>
      <c r="DO46" s="238"/>
      <c r="DP46" s="238"/>
      <c r="DQ46" s="238"/>
      <c r="DR46" s="238"/>
      <c r="DS46" s="238"/>
      <c r="DT46" s="238"/>
      <c r="DU46" s="238"/>
      <c r="DV46" s="238"/>
      <c r="DW46" s="238"/>
      <c r="DX46" s="238"/>
      <c r="DY46" s="238"/>
      <c r="DZ46" s="238"/>
      <c r="EA46" s="238"/>
      <c r="EB46" s="238"/>
      <c r="EC46" s="238"/>
      <c r="ED46" s="238"/>
      <c r="EE46" s="238"/>
      <c r="EF46" s="238"/>
      <c r="EG46" s="238"/>
      <c r="EH46" s="238"/>
      <c r="EI46" s="238"/>
      <c r="EJ46" s="238"/>
      <c r="EK46" s="238"/>
      <c r="EL46" s="238"/>
      <c r="EM46" s="238"/>
      <c r="EN46" s="238"/>
      <c r="EO46" s="238"/>
      <c r="EP46" s="238"/>
      <c r="EQ46" s="238"/>
      <c r="ER46" s="238"/>
      <c r="ES46" s="238"/>
      <c r="ET46" s="238"/>
      <c r="EU46" s="238"/>
      <c r="EV46" s="238"/>
      <c r="EW46" s="238"/>
      <c r="EX46" s="238"/>
      <c r="EY46" s="238"/>
      <c r="EZ46" s="238"/>
      <c r="FA46" s="238"/>
      <c r="FB46" s="238"/>
      <c r="FC46" s="238"/>
      <c r="FD46" s="238"/>
      <c r="FE46" s="238"/>
      <c r="FF46" s="238"/>
      <c r="FG46" s="238"/>
      <c r="FH46" s="238"/>
      <c r="FI46" s="238"/>
      <c r="FJ46" s="238"/>
      <c r="FK46" s="238"/>
      <c r="FL46" s="238"/>
      <c r="FM46" s="238"/>
      <c r="FN46" s="238"/>
      <c r="FO46" s="238"/>
      <c r="FP46" s="238"/>
      <c r="FQ46" s="238"/>
      <c r="FR46" s="238"/>
      <c r="FS46" s="238"/>
      <c r="FT46" s="238"/>
      <c r="FU46" s="238"/>
      <c r="FV46" s="238"/>
      <c r="FW46" s="238"/>
      <c r="FX46" s="238"/>
      <c r="FY46" s="238"/>
      <c r="FZ46" s="238"/>
      <c r="GA46" s="238"/>
      <c r="GB46" s="238"/>
      <c r="GC46" s="238"/>
      <c r="GD46" s="238"/>
      <c r="GE46" s="238"/>
      <c r="GF46" s="238"/>
      <c r="GG46" s="238"/>
      <c r="GH46" s="238"/>
      <c r="GI46" s="238"/>
      <c r="GJ46" s="238"/>
      <c r="GK46" s="238"/>
      <c r="GL46" s="238"/>
      <c r="GM46" s="238"/>
      <c r="GN46" s="238"/>
      <c r="GO46" s="238"/>
      <c r="GP46" s="238"/>
      <c r="GQ46" s="238"/>
      <c r="GR46" s="238"/>
      <c r="GS46" s="238"/>
      <c r="GT46" s="238"/>
      <c r="GU46" s="238"/>
      <c r="GV46" s="238"/>
      <c r="GW46" s="238"/>
      <c r="GX46" s="238"/>
      <c r="GY46" s="238"/>
      <c r="GZ46" s="238"/>
      <c r="HA46" s="238"/>
      <c r="HB46" s="238"/>
      <c r="HC46" s="238"/>
      <c r="HD46" s="238"/>
      <c r="HE46" s="238"/>
      <c r="HF46" s="238"/>
      <c r="HG46" s="238"/>
      <c r="HH46" s="238"/>
      <c r="HI46" s="238"/>
      <c r="HJ46" s="238"/>
      <c r="HK46" s="238"/>
      <c r="HL46" s="238"/>
      <c r="HM46" s="238"/>
      <c r="HN46" s="238"/>
      <c r="HO46" s="238"/>
      <c r="HP46" s="238"/>
      <c r="HQ46" s="238"/>
      <c r="HR46" s="238"/>
      <c r="HS46" s="238"/>
      <c r="HT46" s="238"/>
      <c r="HU46" s="238"/>
      <c r="HV46" s="238"/>
      <c r="HW46" s="238"/>
      <c r="HX46" s="238"/>
      <c r="HY46" s="238"/>
      <c r="HZ46" s="238"/>
      <c r="IA46" s="238"/>
      <c r="IB46" s="238"/>
      <c r="IC46" s="238"/>
      <c r="ID46" s="238"/>
      <c r="IE46" s="238"/>
      <c r="IF46" s="238"/>
      <c r="IG46" s="238"/>
      <c r="IH46" s="238"/>
      <c r="II46" s="238"/>
      <c r="IJ46" s="238"/>
      <c r="IK46" s="238"/>
      <c r="IL46" s="238"/>
      <c r="IM46" s="238"/>
    </row>
    <row r="47" spans="1:247">
      <c r="A47" s="1212"/>
      <c r="B47" s="225"/>
      <c r="C47" s="225"/>
      <c r="D47" s="225"/>
      <c r="E47" s="225"/>
      <c r="F47" s="290"/>
      <c r="G47" s="225"/>
      <c r="H47" s="225"/>
      <c r="I47" s="225"/>
      <c r="J47" s="225"/>
      <c r="K47" s="225"/>
      <c r="L47" s="225"/>
      <c r="M47" s="225"/>
      <c r="N47" s="2830"/>
      <c r="O47" s="2830"/>
      <c r="P47" s="2830"/>
      <c r="Q47" s="225"/>
      <c r="R47" s="292"/>
      <c r="S47" s="225"/>
      <c r="T47" s="231"/>
      <c r="U47" s="227"/>
      <c r="V47" s="231"/>
      <c r="W47" s="227"/>
      <c r="X47" s="227"/>
    </row>
    <row r="48" spans="1:247" s="291" customFormat="1" ht="16.5" customHeight="1">
      <c r="A48" s="1768"/>
      <c r="N48" s="2823"/>
      <c r="O48" s="2823"/>
      <c r="P48" s="2823"/>
      <c r="R48" s="1685"/>
    </row>
    <row r="49" spans="1:21">
      <c r="A49" s="1212"/>
      <c r="B49" s="225"/>
      <c r="C49" s="225"/>
      <c r="D49" s="225"/>
      <c r="E49" s="225"/>
      <c r="F49" s="225"/>
      <c r="G49" s="225"/>
      <c r="H49" s="225"/>
      <c r="I49" s="225"/>
      <c r="J49" s="225"/>
      <c r="K49" s="225"/>
      <c r="L49" s="225"/>
      <c r="M49" s="225"/>
      <c r="N49" s="3502"/>
      <c r="O49" s="2830"/>
      <c r="P49" s="3502"/>
      <c r="Q49" s="225"/>
      <c r="R49" s="292"/>
      <c r="S49" s="225"/>
      <c r="T49" s="292"/>
      <c r="U49" s="225"/>
    </row>
    <row r="50" spans="1:21">
      <c r="A50" s="1212"/>
      <c r="B50" s="225"/>
      <c r="C50" s="225"/>
      <c r="D50" s="225"/>
      <c r="E50" s="225"/>
      <c r="F50" s="225"/>
      <c r="G50" s="225"/>
      <c r="H50" s="225"/>
      <c r="I50" s="225"/>
      <c r="J50" s="225"/>
      <c r="K50" s="225"/>
      <c r="L50" s="225"/>
      <c r="M50" s="225"/>
      <c r="N50" s="494"/>
      <c r="O50" s="2830"/>
      <c r="P50" s="494"/>
      <c r="Q50" s="225"/>
      <c r="R50" s="292"/>
      <c r="S50" s="225"/>
      <c r="T50" s="292"/>
      <c r="U50" s="225"/>
    </row>
    <row r="51" spans="1:21">
      <c r="A51" s="1212"/>
      <c r="B51" s="225"/>
      <c r="C51" s="225"/>
      <c r="D51" s="225"/>
      <c r="E51" s="225"/>
      <c r="F51" s="225"/>
      <c r="G51" s="225"/>
      <c r="H51" s="225"/>
      <c r="I51" s="225"/>
      <c r="J51" s="225"/>
      <c r="K51" s="225"/>
      <c r="L51" s="225"/>
      <c r="M51" s="225"/>
      <c r="N51" s="2830"/>
      <c r="O51" s="2830"/>
      <c r="P51" s="2830"/>
      <c r="Q51" s="225"/>
      <c r="R51" s="292"/>
      <c r="S51" s="225"/>
      <c r="T51" s="292"/>
      <c r="U51" s="225"/>
    </row>
    <row r="52" spans="1:21">
      <c r="A52" s="1212"/>
      <c r="B52" s="225"/>
      <c r="C52" s="225"/>
      <c r="D52" s="225"/>
      <c r="E52" s="225"/>
      <c r="F52" s="225"/>
      <c r="G52" s="225"/>
      <c r="H52" s="225"/>
      <c r="I52" s="225"/>
      <c r="J52" s="225"/>
      <c r="K52" s="225"/>
      <c r="L52" s="225"/>
      <c r="M52" s="225"/>
      <c r="N52" s="2830"/>
      <c r="O52" s="2830"/>
      <c r="P52" s="2830"/>
      <c r="Q52" s="225"/>
      <c r="R52" s="292"/>
      <c r="S52" s="225"/>
      <c r="T52" s="292"/>
      <c r="U52" s="225"/>
    </row>
    <row r="53" spans="1:21">
      <c r="A53" s="1583"/>
    </row>
    <row r="54" spans="1:21">
      <c r="A54" s="1583"/>
    </row>
    <row r="55" spans="1:21">
      <c r="A55" s="1583"/>
    </row>
    <row r="56" spans="1:21">
      <c r="A56" s="1583"/>
    </row>
    <row r="57" spans="1:21">
      <c r="A57" s="1583"/>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5" orientation="landscape" useFirstPageNumber="1" r:id="rId2"/>
  <headerFooter scaleWithDoc="0" alignWithMargins="0">
    <oddFooter>&amp;C&amp;8&amp;P</oddFooter>
  </headerFooter>
  <ignoredErrors>
    <ignoredError sqref="U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70" zoomScaleNormal="90" workbookViewId="0"/>
  </sheetViews>
  <sheetFormatPr defaultColWidth="8.88671875" defaultRowHeight="15"/>
  <cols>
    <col min="1" max="1" width="44.77734375" style="1537" customWidth="1"/>
    <col min="2" max="2" width="13.77734375" style="1537" customWidth="1"/>
    <col min="3" max="3" width="1.77734375" style="1537" customWidth="1"/>
    <col min="4" max="4" width="13.77734375" style="1537" customWidth="1"/>
    <col min="5" max="5" width="2.44140625" style="1537" customWidth="1"/>
    <col min="6" max="6" width="13.77734375" style="1537" customWidth="1"/>
    <col min="7" max="7" width="1.6640625" style="1537" customWidth="1"/>
    <col min="8" max="8" width="13.77734375" style="1537" customWidth="1"/>
    <col min="9" max="9" width="1.77734375" style="1537" customWidth="1"/>
    <col min="10" max="10" width="13.77734375" style="1537" customWidth="1"/>
    <col min="11" max="11" width="1.6640625" style="1537" customWidth="1"/>
    <col min="12" max="12" width="13.77734375" style="1537" customWidth="1"/>
    <col min="13" max="13" width="0.5546875" style="1537" customWidth="1"/>
    <col min="14" max="14" width="13.77734375" style="1537" customWidth="1"/>
    <col min="15" max="15" width="2.5546875" style="1537" customWidth="1"/>
    <col min="16" max="16" width="13.77734375" style="1537" customWidth="1"/>
    <col min="17" max="17" width="1.5546875" style="1537" customWidth="1"/>
    <col min="18" max="18" width="2.109375" style="1707" customWidth="1"/>
    <col min="19" max="19" width="10.5546875" style="1537" bestFit="1" customWidth="1"/>
    <col min="20" max="20" width="2.44140625" style="1707" customWidth="1"/>
    <col min="21" max="21" width="11.109375" style="1537" bestFit="1" customWidth="1"/>
    <col min="22" max="16384" width="8.88671875" style="1537"/>
  </cols>
  <sheetData>
    <row r="1" spans="1:252">
      <c r="A1" s="1052" t="s">
        <v>1064</v>
      </c>
    </row>
    <row r="2" spans="1:252">
      <c r="A2" s="1455"/>
    </row>
    <row r="3" spans="1:252" s="1708" customFormat="1" ht="15.75">
      <c r="A3" s="294" t="s">
        <v>0</v>
      </c>
      <c r="B3" s="294"/>
      <c r="C3" s="294"/>
      <c r="D3" s="294"/>
      <c r="E3" s="294"/>
      <c r="F3" s="1537"/>
      <c r="G3" s="1537"/>
      <c r="H3" s="294"/>
      <c r="I3" s="294"/>
      <c r="J3" s="294"/>
      <c r="K3" s="294"/>
      <c r="L3" s="294"/>
      <c r="M3" s="294"/>
      <c r="N3" s="735"/>
      <c r="P3" s="1709"/>
      <c r="Q3" s="1710"/>
      <c r="R3" s="1711"/>
      <c r="S3" s="1455"/>
      <c r="T3" s="1711"/>
      <c r="U3" s="1681" t="s">
        <v>80</v>
      </c>
      <c r="V3" s="1455"/>
      <c r="W3" s="1537"/>
      <c r="X3" s="1537"/>
      <c r="Y3" s="1537"/>
      <c r="Z3" s="1537"/>
      <c r="AA3" s="1537"/>
      <c r="AB3" s="1537"/>
      <c r="AC3" s="1537"/>
      <c r="AD3" s="1537"/>
      <c r="AE3" s="1537"/>
      <c r="AF3" s="1537"/>
      <c r="AG3" s="1537"/>
      <c r="AH3" s="1537"/>
      <c r="AI3" s="1537"/>
      <c r="AJ3" s="1537"/>
      <c r="AK3" s="1537"/>
      <c r="AL3" s="1537"/>
      <c r="AM3" s="1537"/>
      <c r="AN3" s="1537"/>
      <c r="AO3" s="1537"/>
      <c r="AP3" s="1537"/>
      <c r="AQ3" s="1537"/>
      <c r="AR3" s="1537"/>
      <c r="AS3" s="1537"/>
      <c r="AT3" s="1537"/>
      <c r="AU3" s="1537"/>
      <c r="AV3" s="1537"/>
      <c r="AW3" s="1537"/>
      <c r="AX3" s="1537"/>
      <c r="AY3" s="1537"/>
      <c r="AZ3" s="1537"/>
      <c r="BA3" s="1537"/>
      <c r="BB3" s="1537"/>
      <c r="BC3" s="1537"/>
      <c r="BD3" s="1537"/>
      <c r="BE3" s="1537"/>
      <c r="BF3" s="1537"/>
      <c r="BG3" s="1537"/>
      <c r="BH3" s="1537"/>
      <c r="BI3" s="1537"/>
      <c r="BJ3" s="1537"/>
      <c r="BK3" s="1537"/>
      <c r="BL3" s="1537"/>
      <c r="BM3" s="1537"/>
      <c r="BN3" s="1537"/>
      <c r="BO3" s="1537"/>
      <c r="BP3" s="1537"/>
      <c r="BQ3" s="1537"/>
      <c r="BR3" s="1537"/>
      <c r="BS3" s="1537"/>
      <c r="BT3" s="1537"/>
      <c r="BU3" s="1537"/>
      <c r="BV3" s="1537"/>
      <c r="BW3" s="1537"/>
      <c r="BX3" s="1537"/>
      <c r="BY3" s="1537"/>
      <c r="BZ3" s="1537"/>
      <c r="CA3" s="1537"/>
      <c r="CB3" s="1537"/>
      <c r="CC3" s="1537"/>
      <c r="CD3" s="1537"/>
      <c r="CE3" s="1537"/>
      <c r="CF3" s="1537"/>
      <c r="CG3" s="1537"/>
      <c r="CH3" s="1537"/>
      <c r="CI3" s="1537"/>
      <c r="CJ3" s="1537"/>
      <c r="CK3" s="1537"/>
      <c r="CL3" s="1537"/>
      <c r="CM3" s="1537"/>
      <c r="CN3" s="1537"/>
      <c r="CO3" s="1537"/>
      <c r="CP3" s="1537"/>
      <c r="CQ3" s="1537"/>
      <c r="CR3" s="1537"/>
      <c r="CS3" s="1537"/>
      <c r="CT3" s="1537"/>
      <c r="CU3" s="1537"/>
      <c r="CV3" s="1537"/>
      <c r="CW3" s="1537"/>
      <c r="CX3" s="1537"/>
      <c r="CY3" s="1537"/>
      <c r="CZ3" s="1537"/>
      <c r="DA3" s="1537"/>
      <c r="DB3" s="1537"/>
      <c r="DC3" s="1537"/>
      <c r="DD3" s="1537"/>
      <c r="DE3" s="1537"/>
      <c r="DF3" s="1537"/>
      <c r="DG3" s="1537"/>
      <c r="DH3" s="1537"/>
      <c r="DI3" s="1537"/>
      <c r="DJ3" s="1537"/>
      <c r="DK3" s="1537"/>
      <c r="DL3" s="1537"/>
      <c r="DM3" s="1537"/>
      <c r="DN3" s="1537"/>
      <c r="DO3" s="1537"/>
      <c r="DP3" s="1537"/>
      <c r="DQ3" s="1537"/>
      <c r="DR3" s="1537"/>
      <c r="DS3" s="1537"/>
      <c r="DT3" s="1537"/>
      <c r="DU3" s="1537"/>
      <c r="DV3" s="1537"/>
      <c r="DW3" s="1537"/>
      <c r="DX3" s="1537"/>
      <c r="DY3" s="1537"/>
      <c r="DZ3" s="1537"/>
      <c r="EA3" s="1537"/>
      <c r="EB3" s="1537"/>
      <c r="EC3" s="1537"/>
      <c r="ED3" s="1537"/>
      <c r="EE3" s="1537"/>
      <c r="EF3" s="1537"/>
      <c r="EG3" s="1537"/>
      <c r="EH3" s="1537"/>
      <c r="EI3" s="1537"/>
      <c r="EJ3" s="1537"/>
      <c r="EK3" s="1537"/>
      <c r="EL3" s="1537"/>
      <c r="EM3" s="1537"/>
      <c r="EN3" s="1537"/>
      <c r="EO3" s="1537"/>
      <c r="EP3" s="1537"/>
      <c r="EQ3" s="1537"/>
      <c r="ER3" s="1537"/>
      <c r="ES3" s="1537"/>
      <c r="ET3" s="1537"/>
      <c r="EU3" s="1537"/>
      <c r="EV3" s="1537"/>
      <c r="EW3" s="1537"/>
      <c r="EX3" s="1537"/>
      <c r="EY3" s="1537"/>
      <c r="EZ3" s="1537"/>
      <c r="FA3" s="1537"/>
      <c r="FB3" s="1537"/>
      <c r="FC3" s="1537"/>
      <c r="FD3" s="1537"/>
      <c r="FE3" s="1537"/>
      <c r="FF3" s="1537"/>
      <c r="FG3" s="1537"/>
      <c r="FH3" s="1537"/>
      <c r="FI3" s="1537"/>
      <c r="FJ3" s="1537"/>
      <c r="FK3" s="1537"/>
      <c r="FL3" s="1537"/>
      <c r="FM3" s="1537"/>
      <c r="FN3" s="1537"/>
      <c r="FO3" s="1537"/>
      <c r="FP3" s="1537"/>
      <c r="FQ3" s="1537"/>
      <c r="FR3" s="1537"/>
      <c r="FS3" s="1537"/>
      <c r="FT3" s="1537"/>
      <c r="FU3" s="1537"/>
      <c r="FV3" s="1537"/>
      <c r="FW3" s="1537"/>
      <c r="FX3" s="1537"/>
      <c r="FY3" s="1537"/>
      <c r="FZ3" s="1537"/>
      <c r="GA3" s="1537"/>
      <c r="GB3" s="1537"/>
      <c r="GC3" s="1537"/>
      <c r="GD3" s="1537"/>
      <c r="GE3" s="1537"/>
      <c r="GF3" s="1537"/>
      <c r="GG3" s="1537"/>
      <c r="GH3" s="1537"/>
      <c r="GI3" s="1537"/>
      <c r="GJ3" s="1537"/>
      <c r="GK3" s="1537"/>
      <c r="GL3" s="1537"/>
      <c r="GM3" s="1537"/>
      <c r="GN3" s="1537"/>
      <c r="GO3" s="1537"/>
      <c r="GP3" s="1537"/>
      <c r="GQ3" s="1537"/>
      <c r="GR3" s="1537"/>
      <c r="GS3" s="1537"/>
      <c r="GT3" s="1537"/>
      <c r="GU3" s="1537"/>
      <c r="GV3" s="1537"/>
      <c r="GW3" s="1537"/>
      <c r="GX3" s="1537"/>
      <c r="GY3" s="1537"/>
      <c r="GZ3" s="1537"/>
      <c r="HA3" s="1537"/>
      <c r="HB3" s="1537"/>
      <c r="HC3" s="1537"/>
      <c r="HD3" s="1537"/>
      <c r="HE3" s="1537"/>
      <c r="HF3" s="1537"/>
      <c r="HG3" s="1537"/>
      <c r="HH3" s="1537"/>
      <c r="HI3" s="1537"/>
      <c r="HJ3" s="1537"/>
      <c r="HK3" s="1537"/>
      <c r="HL3" s="1537"/>
      <c r="HM3" s="1537"/>
      <c r="HN3" s="1537"/>
      <c r="HO3" s="1537"/>
      <c r="HP3" s="1537"/>
      <c r="HQ3" s="1537"/>
      <c r="HR3" s="1537"/>
      <c r="HS3" s="1537"/>
      <c r="HT3" s="1537"/>
      <c r="HU3" s="1537"/>
      <c r="HV3" s="1537"/>
      <c r="HW3" s="1537"/>
      <c r="HX3" s="1537"/>
      <c r="HY3" s="1537"/>
      <c r="HZ3" s="1537"/>
      <c r="IA3" s="1537"/>
      <c r="IB3" s="1537"/>
      <c r="IC3" s="1537"/>
      <c r="ID3" s="1537"/>
      <c r="IE3" s="1537"/>
      <c r="IF3" s="1537"/>
      <c r="IG3" s="1537"/>
      <c r="IH3" s="1537"/>
      <c r="II3" s="1537"/>
      <c r="IJ3" s="1537"/>
      <c r="IK3" s="1537"/>
      <c r="IL3" s="1537"/>
      <c r="IM3" s="1537"/>
      <c r="IN3" s="1537"/>
      <c r="IO3" s="1537"/>
      <c r="IP3" s="1537"/>
      <c r="IQ3" s="1537"/>
      <c r="IR3" s="1537"/>
    </row>
    <row r="4" spans="1:252" s="1708" customFormat="1" ht="15.75">
      <c r="A4" s="294" t="s">
        <v>963</v>
      </c>
      <c r="B4" s="294"/>
      <c r="C4" s="294"/>
      <c r="D4" s="294"/>
      <c r="E4" s="294"/>
      <c r="F4" s="1537"/>
      <c r="G4" s="1537"/>
      <c r="H4" s="294"/>
      <c r="I4" s="294"/>
      <c r="J4" s="294"/>
      <c r="K4" s="294"/>
      <c r="L4" s="294"/>
      <c r="M4" s="294"/>
      <c r="N4" s="294"/>
      <c r="O4" s="294"/>
      <c r="P4" s="294"/>
      <c r="Q4" s="1710"/>
      <c r="R4" s="1711"/>
      <c r="S4" s="1455"/>
      <c r="T4" s="1711"/>
      <c r="U4" s="1455"/>
      <c r="V4" s="1455"/>
      <c r="W4" s="1537"/>
      <c r="X4" s="1537"/>
      <c r="Y4" s="1537"/>
      <c r="Z4" s="1537"/>
      <c r="AA4" s="1537"/>
      <c r="AB4" s="1537"/>
      <c r="AC4" s="1537"/>
      <c r="AD4" s="1537"/>
      <c r="AE4" s="1537"/>
      <c r="AF4" s="1537"/>
      <c r="AG4" s="1537"/>
      <c r="AH4" s="1537"/>
      <c r="AI4" s="1537"/>
      <c r="AJ4" s="1537"/>
      <c r="AK4" s="1537"/>
      <c r="AL4" s="1537"/>
      <c r="AM4" s="1537"/>
      <c r="AN4" s="1537"/>
      <c r="AO4" s="1537"/>
      <c r="AP4" s="1537"/>
      <c r="AQ4" s="1537"/>
      <c r="AR4" s="1537"/>
      <c r="AS4" s="1537"/>
      <c r="AT4" s="1537"/>
      <c r="AU4" s="1537"/>
      <c r="AV4" s="1537"/>
      <c r="AW4" s="1537"/>
      <c r="AX4" s="1537"/>
      <c r="AY4" s="1537"/>
      <c r="AZ4" s="1537"/>
      <c r="BA4" s="1537"/>
      <c r="BB4" s="1537"/>
      <c r="BC4" s="1537"/>
      <c r="BD4" s="1537"/>
      <c r="BE4" s="1537"/>
      <c r="BF4" s="1537"/>
      <c r="BG4" s="1537"/>
      <c r="BH4" s="1537"/>
      <c r="BI4" s="1537"/>
      <c r="BJ4" s="1537"/>
      <c r="BK4" s="1537"/>
      <c r="BL4" s="1537"/>
      <c r="BM4" s="1537"/>
      <c r="BN4" s="1537"/>
      <c r="BO4" s="1537"/>
      <c r="BP4" s="1537"/>
      <c r="BQ4" s="1537"/>
      <c r="BR4" s="1537"/>
      <c r="BS4" s="1537"/>
      <c r="BT4" s="1537"/>
      <c r="BU4" s="1537"/>
      <c r="BV4" s="1537"/>
      <c r="BW4" s="1537"/>
      <c r="BX4" s="1537"/>
      <c r="BY4" s="1537"/>
      <c r="BZ4" s="1537"/>
      <c r="CA4" s="1537"/>
      <c r="CB4" s="1537"/>
      <c r="CC4" s="1537"/>
      <c r="CD4" s="1537"/>
      <c r="CE4" s="1537"/>
      <c r="CF4" s="1537"/>
      <c r="CG4" s="1537"/>
      <c r="CH4" s="1537"/>
      <c r="CI4" s="1537"/>
      <c r="CJ4" s="1537"/>
      <c r="CK4" s="1537"/>
      <c r="CL4" s="1537"/>
      <c r="CM4" s="1537"/>
      <c r="CN4" s="1537"/>
      <c r="CO4" s="1537"/>
      <c r="CP4" s="1537"/>
      <c r="CQ4" s="1537"/>
      <c r="CR4" s="1537"/>
      <c r="CS4" s="1537"/>
      <c r="CT4" s="1537"/>
      <c r="CU4" s="1537"/>
      <c r="CV4" s="1537"/>
      <c r="CW4" s="1537"/>
      <c r="CX4" s="1537"/>
      <c r="CY4" s="1537"/>
      <c r="CZ4" s="1537"/>
      <c r="DA4" s="1537"/>
      <c r="DB4" s="1537"/>
      <c r="DC4" s="1537"/>
      <c r="DD4" s="1537"/>
      <c r="DE4" s="1537"/>
      <c r="DF4" s="1537"/>
      <c r="DG4" s="1537"/>
      <c r="DH4" s="1537"/>
      <c r="DI4" s="1537"/>
      <c r="DJ4" s="1537"/>
      <c r="DK4" s="1537"/>
      <c r="DL4" s="1537"/>
      <c r="DM4" s="1537"/>
      <c r="DN4" s="1537"/>
      <c r="DO4" s="1537"/>
      <c r="DP4" s="1537"/>
      <c r="DQ4" s="1537"/>
      <c r="DR4" s="1537"/>
      <c r="DS4" s="1537"/>
      <c r="DT4" s="1537"/>
      <c r="DU4" s="1537"/>
      <c r="DV4" s="1537"/>
      <c r="DW4" s="1537"/>
      <c r="DX4" s="1537"/>
      <c r="DY4" s="1537"/>
      <c r="DZ4" s="1537"/>
      <c r="EA4" s="1537"/>
      <c r="EB4" s="1537"/>
      <c r="EC4" s="1537"/>
      <c r="ED4" s="1537"/>
      <c r="EE4" s="1537"/>
      <c r="EF4" s="1537"/>
      <c r="EG4" s="1537"/>
      <c r="EH4" s="1537"/>
      <c r="EI4" s="1537"/>
      <c r="EJ4" s="1537"/>
      <c r="EK4" s="1537"/>
      <c r="EL4" s="1537"/>
      <c r="EM4" s="1537"/>
      <c r="EN4" s="1537"/>
      <c r="EO4" s="1537"/>
      <c r="EP4" s="1537"/>
      <c r="EQ4" s="1537"/>
      <c r="ER4" s="1537"/>
      <c r="ES4" s="1537"/>
      <c r="ET4" s="1537"/>
      <c r="EU4" s="1537"/>
      <c r="EV4" s="1537"/>
      <c r="EW4" s="1537"/>
      <c r="EX4" s="1537"/>
      <c r="EY4" s="1537"/>
      <c r="EZ4" s="1537"/>
      <c r="FA4" s="1537"/>
      <c r="FB4" s="1537"/>
      <c r="FC4" s="1537"/>
      <c r="FD4" s="1537"/>
      <c r="FE4" s="1537"/>
      <c r="FF4" s="1537"/>
      <c r="FG4" s="1537"/>
      <c r="FH4" s="1537"/>
      <c r="FI4" s="1537"/>
      <c r="FJ4" s="1537"/>
      <c r="FK4" s="1537"/>
      <c r="FL4" s="1537"/>
      <c r="FM4" s="1537"/>
      <c r="FN4" s="1537"/>
      <c r="FO4" s="1537"/>
      <c r="FP4" s="1537"/>
      <c r="FQ4" s="1537"/>
      <c r="FR4" s="1537"/>
      <c r="FS4" s="1537"/>
      <c r="FT4" s="1537"/>
      <c r="FU4" s="1537"/>
      <c r="FV4" s="1537"/>
      <c r="FW4" s="1537"/>
      <c r="FX4" s="1537"/>
      <c r="FY4" s="1537"/>
      <c r="FZ4" s="1537"/>
      <c r="GA4" s="1537"/>
      <c r="GB4" s="1537"/>
      <c r="GC4" s="1537"/>
      <c r="GD4" s="1537"/>
      <c r="GE4" s="1537"/>
      <c r="GF4" s="1537"/>
      <c r="GG4" s="1537"/>
      <c r="GH4" s="1537"/>
      <c r="GI4" s="1537"/>
      <c r="GJ4" s="1537"/>
      <c r="GK4" s="1537"/>
      <c r="GL4" s="1537"/>
      <c r="GM4" s="1537"/>
      <c r="GN4" s="1537"/>
      <c r="GO4" s="1537"/>
      <c r="GP4" s="1537"/>
      <c r="GQ4" s="1537"/>
      <c r="GR4" s="1537"/>
      <c r="GS4" s="1537"/>
      <c r="GT4" s="1537"/>
      <c r="GU4" s="1537"/>
      <c r="GV4" s="1537"/>
      <c r="GW4" s="1537"/>
      <c r="GX4" s="1537"/>
      <c r="GY4" s="1537"/>
      <c r="GZ4" s="1537"/>
      <c r="HA4" s="1537"/>
      <c r="HB4" s="1537"/>
      <c r="HC4" s="1537"/>
      <c r="HD4" s="1537"/>
      <c r="HE4" s="1537"/>
      <c r="HF4" s="1537"/>
      <c r="HG4" s="1537"/>
      <c r="HH4" s="1537"/>
      <c r="HI4" s="1537"/>
      <c r="HJ4" s="1537"/>
      <c r="HK4" s="1537"/>
      <c r="HL4" s="1537"/>
      <c r="HM4" s="1537"/>
      <c r="HN4" s="1537"/>
      <c r="HO4" s="1537"/>
      <c r="HP4" s="1537"/>
      <c r="HQ4" s="1537"/>
      <c r="HR4" s="1537"/>
      <c r="HS4" s="1537"/>
      <c r="HT4" s="1537"/>
      <c r="HU4" s="1537"/>
      <c r="HV4" s="1537"/>
      <c r="HW4" s="1537"/>
      <c r="HX4" s="1537"/>
      <c r="HY4" s="1537"/>
      <c r="HZ4" s="1537"/>
      <c r="IA4" s="1537"/>
      <c r="IB4" s="1537"/>
      <c r="IC4" s="1537"/>
      <c r="ID4" s="1537"/>
      <c r="IE4" s="1537"/>
      <c r="IF4" s="1537"/>
      <c r="IG4" s="1537"/>
      <c r="IH4" s="1537"/>
      <c r="II4" s="1537"/>
      <c r="IJ4" s="1537"/>
      <c r="IK4" s="1537"/>
      <c r="IL4" s="1537"/>
      <c r="IM4" s="1537"/>
      <c r="IN4" s="1537"/>
      <c r="IO4" s="1537"/>
      <c r="IP4" s="1537"/>
      <c r="IQ4" s="1537"/>
      <c r="IR4" s="1537"/>
    </row>
    <row r="5" spans="1:252" s="1708" customFormat="1" ht="15.75">
      <c r="A5" s="467" t="s">
        <v>964</v>
      </c>
      <c r="B5" s="294"/>
      <c r="C5" s="294"/>
      <c r="D5" s="294"/>
      <c r="E5" s="294"/>
      <c r="F5" s="1537"/>
      <c r="G5" s="1537"/>
      <c r="H5" s="294"/>
      <c r="I5" s="294"/>
      <c r="J5" s="294"/>
      <c r="K5" s="294"/>
      <c r="L5" s="294"/>
      <c r="M5" s="294"/>
      <c r="N5" s="294"/>
      <c r="O5" s="294"/>
      <c r="P5" s="294" t="s">
        <v>15</v>
      </c>
      <c r="Q5" s="1710"/>
      <c r="R5" s="1711"/>
      <c r="S5" s="1455"/>
      <c r="T5" s="1711"/>
      <c r="U5" s="1455"/>
      <c r="V5" s="1455"/>
      <c r="W5" s="1537"/>
      <c r="X5" s="1537"/>
      <c r="Y5" s="1537"/>
      <c r="Z5" s="1537"/>
      <c r="AA5" s="1537"/>
      <c r="AB5" s="1537"/>
      <c r="AC5" s="1537"/>
      <c r="AD5" s="1537"/>
      <c r="AE5" s="1537"/>
      <c r="AF5" s="1537"/>
      <c r="AG5" s="1537"/>
      <c r="AH5" s="1537"/>
      <c r="AI5" s="1537"/>
      <c r="AJ5" s="1537"/>
      <c r="AK5" s="1537"/>
      <c r="AL5" s="1537"/>
      <c r="AM5" s="1537"/>
      <c r="AN5" s="1537"/>
      <c r="AO5" s="1537"/>
      <c r="AP5" s="1537"/>
      <c r="AQ5" s="1537"/>
      <c r="AR5" s="1537"/>
      <c r="AS5" s="1537"/>
      <c r="AT5" s="1537"/>
      <c r="AU5" s="1537"/>
      <c r="AV5" s="1537"/>
      <c r="AW5" s="1537"/>
      <c r="AX5" s="1537"/>
      <c r="AY5" s="1537"/>
      <c r="AZ5" s="1537"/>
      <c r="BA5" s="1537"/>
      <c r="BB5" s="1537"/>
      <c r="BC5" s="1537"/>
      <c r="BD5" s="1537"/>
      <c r="BE5" s="1537"/>
      <c r="BF5" s="1537"/>
      <c r="BG5" s="1537"/>
      <c r="BH5" s="1537"/>
      <c r="BI5" s="1537"/>
      <c r="BJ5" s="1537"/>
      <c r="BK5" s="1537"/>
      <c r="BL5" s="1537"/>
      <c r="BM5" s="1537"/>
      <c r="BN5" s="1537"/>
      <c r="BO5" s="1537"/>
      <c r="BP5" s="1537"/>
      <c r="BQ5" s="1537"/>
      <c r="BR5" s="1537"/>
      <c r="BS5" s="1537"/>
      <c r="BT5" s="1537"/>
      <c r="BU5" s="1537"/>
      <c r="BV5" s="1537"/>
      <c r="BW5" s="1537"/>
      <c r="BX5" s="1537"/>
      <c r="BY5" s="1537"/>
      <c r="BZ5" s="1537"/>
      <c r="CA5" s="1537"/>
      <c r="CB5" s="1537"/>
      <c r="CC5" s="1537"/>
      <c r="CD5" s="1537"/>
      <c r="CE5" s="1537"/>
      <c r="CF5" s="1537"/>
      <c r="CG5" s="1537"/>
      <c r="CH5" s="1537"/>
      <c r="CI5" s="1537"/>
      <c r="CJ5" s="1537"/>
      <c r="CK5" s="1537"/>
      <c r="CL5" s="1537"/>
      <c r="CM5" s="1537"/>
      <c r="CN5" s="1537"/>
      <c r="CO5" s="1537"/>
      <c r="CP5" s="1537"/>
      <c r="CQ5" s="1537"/>
      <c r="CR5" s="1537"/>
      <c r="CS5" s="1537"/>
      <c r="CT5" s="1537"/>
      <c r="CU5" s="1537"/>
      <c r="CV5" s="1537"/>
      <c r="CW5" s="1537"/>
      <c r="CX5" s="1537"/>
      <c r="CY5" s="1537"/>
      <c r="CZ5" s="1537"/>
      <c r="DA5" s="1537"/>
      <c r="DB5" s="1537"/>
      <c r="DC5" s="1537"/>
      <c r="DD5" s="1537"/>
      <c r="DE5" s="1537"/>
      <c r="DF5" s="1537"/>
      <c r="DG5" s="1537"/>
      <c r="DH5" s="1537"/>
      <c r="DI5" s="1537"/>
      <c r="DJ5" s="1537"/>
      <c r="DK5" s="1537"/>
      <c r="DL5" s="1537"/>
      <c r="DM5" s="1537"/>
      <c r="DN5" s="1537"/>
      <c r="DO5" s="1537"/>
      <c r="DP5" s="1537"/>
      <c r="DQ5" s="1537"/>
      <c r="DR5" s="1537"/>
      <c r="DS5" s="1537"/>
      <c r="DT5" s="1537"/>
      <c r="DU5" s="1537"/>
      <c r="DV5" s="1537"/>
      <c r="DW5" s="1537"/>
      <c r="DX5" s="1537"/>
      <c r="DY5" s="1537"/>
      <c r="DZ5" s="1537"/>
      <c r="EA5" s="1537"/>
      <c r="EB5" s="1537"/>
      <c r="EC5" s="1537"/>
      <c r="ED5" s="1537"/>
      <c r="EE5" s="1537"/>
      <c r="EF5" s="1537"/>
      <c r="EG5" s="1537"/>
      <c r="EH5" s="1537"/>
      <c r="EI5" s="1537"/>
      <c r="EJ5" s="1537"/>
      <c r="EK5" s="1537"/>
      <c r="EL5" s="1537"/>
      <c r="EM5" s="1537"/>
      <c r="EN5" s="1537"/>
      <c r="EO5" s="1537"/>
      <c r="EP5" s="1537"/>
      <c r="EQ5" s="1537"/>
      <c r="ER5" s="1537"/>
      <c r="ES5" s="1537"/>
      <c r="ET5" s="1537"/>
      <c r="EU5" s="1537"/>
      <c r="EV5" s="1537"/>
      <c r="EW5" s="1537"/>
      <c r="EX5" s="1537"/>
      <c r="EY5" s="1537"/>
      <c r="EZ5" s="1537"/>
      <c r="FA5" s="1537"/>
      <c r="FB5" s="1537"/>
      <c r="FC5" s="1537"/>
      <c r="FD5" s="1537"/>
      <c r="FE5" s="1537"/>
      <c r="FF5" s="1537"/>
      <c r="FG5" s="1537"/>
      <c r="FH5" s="1537"/>
      <c r="FI5" s="1537"/>
      <c r="FJ5" s="1537"/>
      <c r="FK5" s="1537"/>
      <c r="FL5" s="1537"/>
      <c r="FM5" s="1537"/>
      <c r="FN5" s="1537"/>
      <c r="FO5" s="1537"/>
      <c r="FP5" s="1537"/>
      <c r="FQ5" s="1537"/>
      <c r="FR5" s="1537"/>
      <c r="FS5" s="1537"/>
      <c r="FT5" s="1537"/>
      <c r="FU5" s="1537"/>
      <c r="FV5" s="1537"/>
      <c r="FW5" s="1537"/>
      <c r="FX5" s="1537"/>
      <c r="FY5" s="1537"/>
      <c r="FZ5" s="1537"/>
      <c r="GA5" s="1537"/>
      <c r="GB5" s="1537"/>
      <c r="GC5" s="1537"/>
      <c r="GD5" s="1537"/>
      <c r="GE5" s="1537"/>
      <c r="GF5" s="1537"/>
      <c r="GG5" s="1537"/>
      <c r="GH5" s="1537"/>
      <c r="GI5" s="1537"/>
      <c r="GJ5" s="1537"/>
      <c r="GK5" s="1537"/>
      <c r="GL5" s="1537"/>
      <c r="GM5" s="1537"/>
      <c r="GN5" s="1537"/>
      <c r="GO5" s="1537"/>
      <c r="GP5" s="1537"/>
      <c r="GQ5" s="1537"/>
      <c r="GR5" s="1537"/>
      <c r="GS5" s="1537"/>
      <c r="GT5" s="1537"/>
      <c r="GU5" s="1537"/>
      <c r="GV5" s="1537"/>
      <c r="GW5" s="1537"/>
      <c r="GX5" s="1537"/>
      <c r="GY5" s="1537"/>
      <c r="GZ5" s="1537"/>
      <c r="HA5" s="1537"/>
      <c r="HB5" s="1537"/>
      <c r="HC5" s="1537"/>
      <c r="HD5" s="1537"/>
      <c r="HE5" s="1537"/>
      <c r="HF5" s="1537"/>
      <c r="HG5" s="1537"/>
      <c r="HH5" s="1537"/>
      <c r="HI5" s="1537"/>
      <c r="HJ5" s="1537"/>
      <c r="HK5" s="1537"/>
      <c r="HL5" s="1537"/>
      <c r="HM5" s="1537"/>
      <c r="HN5" s="1537"/>
      <c r="HO5" s="1537"/>
      <c r="HP5" s="1537"/>
      <c r="HQ5" s="1537"/>
      <c r="HR5" s="1537"/>
      <c r="HS5" s="1537"/>
      <c r="HT5" s="1537"/>
      <c r="HU5" s="1537"/>
      <c r="HV5" s="1537"/>
      <c r="HW5" s="1537"/>
      <c r="HX5" s="1537"/>
      <c r="HY5" s="1537"/>
      <c r="HZ5" s="1537"/>
      <c r="IA5" s="1537"/>
      <c r="IB5" s="1537"/>
      <c r="IC5" s="1537"/>
      <c r="ID5" s="1537"/>
      <c r="IE5" s="1537"/>
      <c r="IF5" s="1537"/>
      <c r="IG5" s="1537"/>
      <c r="IH5" s="1537"/>
      <c r="II5" s="1537"/>
      <c r="IJ5" s="1537"/>
      <c r="IK5" s="1537"/>
      <c r="IL5" s="1537"/>
      <c r="IM5" s="1537"/>
      <c r="IN5" s="1537"/>
      <c r="IO5" s="1537"/>
      <c r="IP5" s="1537"/>
      <c r="IQ5" s="1537"/>
      <c r="IR5" s="1537"/>
    </row>
    <row r="6" spans="1:252" s="1708" customFormat="1" ht="15.75">
      <c r="A6" s="294" t="s">
        <v>957</v>
      </c>
      <c r="B6" s="294"/>
      <c r="C6" s="294"/>
      <c r="D6" s="294"/>
      <c r="E6" s="294"/>
      <c r="F6" s="1537"/>
      <c r="G6" s="1537"/>
      <c r="H6" s="294"/>
      <c r="I6" s="294"/>
      <c r="J6" s="294"/>
      <c r="K6" s="294"/>
      <c r="L6" s="294"/>
      <c r="M6" s="294"/>
      <c r="N6" s="294"/>
      <c r="O6" s="294"/>
      <c r="P6" s="294"/>
      <c r="Q6" s="1710"/>
      <c r="R6" s="1711"/>
      <c r="S6" s="1455"/>
      <c r="T6" s="1711"/>
      <c r="U6" s="1455"/>
      <c r="V6" s="1455"/>
      <c r="W6" s="1537"/>
      <c r="X6" s="1537"/>
      <c r="Y6" s="1537"/>
      <c r="Z6" s="1537"/>
      <c r="AA6" s="1537"/>
      <c r="AB6" s="1537"/>
      <c r="AC6" s="1537"/>
      <c r="AD6" s="1537"/>
      <c r="AE6" s="1537"/>
      <c r="AF6" s="1537"/>
      <c r="AG6" s="1537"/>
      <c r="AH6" s="1537"/>
      <c r="AI6" s="1537"/>
      <c r="AJ6" s="1537"/>
      <c r="AK6" s="1537"/>
      <c r="AL6" s="1537"/>
      <c r="AM6" s="1537"/>
      <c r="AN6" s="1537"/>
      <c r="AO6" s="1537"/>
      <c r="AP6" s="1537"/>
      <c r="AQ6" s="1537"/>
      <c r="AR6" s="1537"/>
      <c r="AS6" s="1537"/>
      <c r="AT6" s="1537"/>
      <c r="AU6" s="1537"/>
      <c r="AV6" s="1537"/>
      <c r="AW6" s="1537"/>
      <c r="AX6" s="1537"/>
      <c r="AY6" s="1537"/>
      <c r="AZ6" s="1537"/>
      <c r="BA6" s="1537"/>
      <c r="BB6" s="1537"/>
      <c r="BC6" s="1537"/>
      <c r="BD6" s="1537"/>
      <c r="BE6" s="1537"/>
      <c r="BF6" s="1537"/>
      <c r="BG6" s="1537"/>
      <c r="BH6" s="1537"/>
      <c r="BI6" s="1537"/>
      <c r="BJ6" s="1537"/>
      <c r="BK6" s="1537"/>
      <c r="BL6" s="1537"/>
      <c r="BM6" s="1537"/>
      <c r="BN6" s="1537"/>
      <c r="BO6" s="1537"/>
      <c r="BP6" s="1537"/>
      <c r="BQ6" s="1537"/>
      <c r="BR6" s="1537"/>
      <c r="BS6" s="1537"/>
      <c r="BT6" s="1537"/>
      <c r="BU6" s="1537"/>
      <c r="BV6" s="1537"/>
      <c r="BW6" s="1537"/>
      <c r="BX6" s="1537"/>
      <c r="BY6" s="1537"/>
      <c r="BZ6" s="1537"/>
      <c r="CA6" s="1537"/>
      <c r="CB6" s="1537"/>
      <c r="CC6" s="1537"/>
      <c r="CD6" s="1537"/>
      <c r="CE6" s="1537"/>
      <c r="CF6" s="1537"/>
      <c r="CG6" s="1537"/>
      <c r="CH6" s="1537"/>
      <c r="CI6" s="1537"/>
      <c r="CJ6" s="1537"/>
      <c r="CK6" s="1537"/>
      <c r="CL6" s="1537"/>
      <c r="CM6" s="1537"/>
      <c r="CN6" s="1537"/>
      <c r="CO6" s="1537"/>
      <c r="CP6" s="1537"/>
      <c r="CQ6" s="1537"/>
      <c r="CR6" s="1537"/>
      <c r="CS6" s="1537"/>
      <c r="CT6" s="1537"/>
      <c r="CU6" s="1537"/>
      <c r="CV6" s="1537"/>
      <c r="CW6" s="1537"/>
      <c r="CX6" s="1537"/>
      <c r="CY6" s="1537"/>
      <c r="CZ6" s="1537"/>
      <c r="DA6" s="1537"/>
      <c r="DB6" s="1537"/>
      <c r="DC6" s="1537"/>
      <c r="DD6" s="1537"/>
      <c r="DE6" s="1537"/>
      <c r="DF6" s="1537"/>
      <c r="DG6" s="1537"/>
      <c r="DH6" s="1537"/>
      <c r="DI6" s="1537"/>
      <c r="DJ6" s="1537"/>
      <c r="DK6" s="1537"/>
      <c r="DL6" s="1537"/>
      <c r="DM6" s="1537"/>
      <c r="DN6" s="1537"/>
      <c r="DO6" s="1537"/>
      <c r="DP6" s="1537"/>
      <c r="DQ6" s="1537"/>
      <c r="DR6" s="1537"/>
      <c r="DS6" s="1537"/>
      <c r="DT6" s="1537"/>
      <c r="DU6" s="1537"/>
      <c r="DV6" s="1537"/>
      <c r="DW6" s="1537"/>
      <c r="DX6" s="1537"/>
      <c r="DY6" s="1537"/>
      <c r="DZ6" s="1537"/>
      <c r="EA6" s="1537"/>
      <c r="EB6" s="1537"/>
      <c r="EC6" s="1537"/>
      <c r="ED6" s="1537"/>
      <c r="EE6" s="1537"/>
      <c r="EF6" s="1537"/>
      <c r="EG6" s="1537"/>
      <c r="EH6" s="1537"/>
      <c r="EI6" s="1537"/>
      <c r="EJ6" s="1537"/>
      <c r="EK6" s="1537"/>
      <c r="EL6" s="1537"/>
      <c r="EM6" s="1537"/>
      <c r="EN6" s="1537"/>
      <c r="EO6" s="1537"/>
      <c r="EP6" s="1537"/>
      <c r="EQ6" s="1537"/>
      <c r="ER6" s="1537"/>
      <c r="ES6" s="1537"/>
      <c r="ET6" s="1537"/>
      <c r="EU6" s="1537"/>
      <c r="EV6" s="1537"/>
      <c r="EW6" s="1537"/>
      <c r="EX6" s="1537"/>
      <c r="EY6" s="1537"/>
      <c r="EZ6" s="1537"/>
      <c r="FA6" s="1537"/>
      <c r="FB6" s="1537"/>
      <c r="FC6" s="1537"/>
      <c r="FD6" s="1537"/>
      <c r="FE6" s="1537"/>
      <c r="FF6" s="1537"/>
      <c r="FG6" s="1537"/>
      <c r="FH6" s="1537"/>
      <c r="FI6" s="1537"/>
      <c r="FJ6" s="1537"/>
      <c r="FK6" s="1537"/>
      <c r="FL6" s="1537"/>
      <c r="FM6" s="1537"/>
      <c r="FN6" s="1537"/>
      <c r="FO6" s="1537"/>
      <c r="FP6" s="1537"/>
      <c r="FQ6" s="1537"/>
      <c r="FR6" s="1537"/>
      <c r="FS6" s="1537"/>
      <c r="FT6" s="1537"/>
      <c r="FU6" s="1537"/>
      <c r="FV6" s="1537"/>
      <c r="FW6" s="1537"/>
      <c r="FX6" s="1537"/>
      <c r="FY6" s="1537"/>
      <c r="FZ6" s="1537"/>
      <c r="GA6" s="1537"/>
      <c r="GB6" s="1537"/>
      <c r="GC6" s="1537"/>
      <c r="GD6" s="1537"/>
      <c r="GE6" s="1537"/>
      <c r="GF6" s="1537"/>
      <c r="GG6" s="1537"/>
      <c r="GH6" s="1537"/>
      <c r="GI6" s="1537"/>
      <c r="GJ6" s="1537"/>
      <c r="GK6" s="1537"/>
      <c r="GL6" s="1537"/>
      <c r="GM6" s="1537"/>
      <c r="GN6" s="1537"/>
      <c r="GO6" s="1537"/>
      <c r="GP6" s="1537"/>
      <c r="GQ6" s="1537"/>
      <c r="GR6" s="1537"/>
      <c r="GS6" s="1537"/>
      <c r="GT6" s="1537"/>
      <c r="GU6" s="1537"/>
      <c r="GV6" s="1537"/>
      <c r="GW6" s="1537"/>
      <c r="GX6" s="1537"/>
      <c r="GY6" s="1537"/>
      <c r="GZ6" s="1537"/>
      <c r="HA6" s="1537"/>
      <c r="HB6" s="1537"/>
      <c r="HC6" s="1537"/>
      <c r="HD6" s="1537"/>
      <c r="HE6" s="1537"/>
      <c r="HF6" s="1537"/>
      <c r="HG6" s="1537"/>
      <c r="HH6" s="1537"/>
      <c r="HI6" s="1537"/>
      <c r="HJ6" s="1537"/>
      <c r="HK6" s="1537"/>
      <c r="HL6" s="1537"/>
      <c r="HM6" s="1537"/>
      <c r="HN6" s="1537"/>
      <c r="HO6" s="1537"/>
      <c r="HP6" s="1537"/>
      <c r="HQ6" s="1537"/>
      <c r="HR6" s="1537"/>
      <c r="HS6" s="1537"/>
      <c r="HT6" s="1537"/>
      <c r="HU6" s="1537"/>
      <c r="HV6" s="1537"/>
      <c r="HW6" s="1537"/>
      <c r="HX6" s="1537"/>
      <c r="HY6" s="1537"/>
      <c r="HZ6" s="1537"/>
      <c r="IA6" s="1537"/>
      <c r="IB6" s="1537"/>
      <c r="IC6" s="1537"/>
      <c r="ID6" s="1537"/>
      <c r="IE6" s="1537"/>
      <c r="IF6" s="1537"/>
      <c r="IG6" s="1537"/>
      <c r="IH6" s="1537"/>
      <c r="II6" s="1537"/>
      <c r="IJ6" s="1537"/>
      <c r="IK6" s="1537"/>
      <c r="IL6" s="1537"/>
      <c r="IM6" s="1537"/>
      <c r="IN6" s="1537"/>
      <c r="IO6" s="1537"/>
      <c r="IP6" s="1537"/>
      <c r="IQ6" s="1537"/>
      <c r="IR6" s="1537"/>
    </row>
    <row r="7" spans="1:252" s="1708" customFormat="1" ht="15.75">
      <c r="A7" s="297"/>
      <c r="B7" s="294"/>
      <c r="C7" s="294"/>
      <c r="D7" s="294"/>
      <c r="E7" s="294"/>
      <c r="F7" s="1537"/>
      <c r="G7" s="1537"/>
      <c r="H7" s="294"/>
      <c r="I7" s="294"/>
      <c r="J7" s="294"/>
      <c r="K7" s="294"/>
      <c r="L7" s="294"/>
      <c r="M7" s="294"/>
      <c r="N7" s="294"/>
      <c r="O7" s="294"/>
      <c r="P7" s="294"/>
      <c r="Q7" s="1710"/>
      <c r="R7" s="1711"/>
      <c r="S7" s="1455"/>
      <c r="T7" s="1711"/>
      <c r="U7" s="1455"/>
      <c r="V7" s="1455"/>
      <c r="W7" s="1537"/>
      <c r="X7" s="1537"/>
      <c r="Y7" s="1537"/>
      <c r="Z7" s="1537"/>
      <c r="AA7" s="1537"/>
      <c r="AB7" s="1537"/>
      <c r="AC7" s="1537"/>
      <c r="AD7" s="1537"/>
      <c r="AE7" s="1537"/>
      <c r="AF7" s="1537"/>
      <c r="AG7" s="1537"/>
      <c r="AH7" s="1537"/>
      <c r="AI7" s="1537"/>
      <c r="AJ7" s="1537"/>
      <c r="AK7" s="1537"/>
      <c r="AL7" s="1537"/>
      <c r="AM7" s="1537"/>
      <c r="AN7" s="1537"/>
      <c r="AO7" s="1537"/>
      <c r="AP7" s="1537"/>
      <c r="AQ7" s="1537"/>
      <c r="AR7" s="1537"/>
      <c r="AS7" s="1537"/>
      <c r="AT7" s="1537"/>
      <c r="AU7" s="1537"/>
      <c r="AV7" s="1537"/>
      <c r="AW7" s="1537"/>
      <c r="AX7" s="1537"/>
      <c r="AY7" s="1537"/>
      <c r="AZ7" s="1537"/>
      <c r="BA7" s="1537"/>
      <c r="BB7" s="1537"/>
      <c r="BC7" s="1537"/>
      <c r="BD7" s="1537"/>
      <c r="BE7" s="1537"/>
      <c r="BF7" s="1537"/>
      <c r="BG7" s="1537"/>
      <c r="BH7" s="1537"/>
      <c r="BI7" s="1537"/>
      <c r="BJ7" s="1537"/>
      <c r="BK7" s="1537"/>
      <c r="BL7" s="1537"/>
      <c r="BM7" s="1537"/>
      <c r="BN7" s="1537"/>
      <c r="BO7" s="1537"/>
      <c r="BP7" s="1537"/>
      <c r="BQ7" s="1537"/>
      <c r="BR7" s="1537"/>
      <c r="BS7" s="1537"/>
      <c r="BT7" s="1537"/>
      <c r="BU7" s="1537"/>
      <c r="BV7" s="1537"/>
      <c r="BW7" s="1537"/>
      <c r="BX7" s="1537"/>
      <c r="BY7" s="1537"/>
      <c r="BZ7" s="1537"/>
      <c r="CA7" s="1537"/>
      <c r="CB7" s="1537"/>
      <c r="CC7" s="1537"/>
      <c r="CD7" s="1537"/>
      <c r="CE7" s="1537"/>
      <c r="CF7" s="1537"/>
      <c r="CG7" s="1537"/>
      <c r="CH7" s="1537"/>
      <c r="CI7" s="1537"/>
      <c r="CJ7" s="1537"/>
      <c r="CK7" s="1537"/>
      <c r="CL7" s="1537"/>
      <c r="CM7" s="1537"/>
      <c r="CN7" s="1537"/>
      <c r="CO7" s="1537"/>
      <c r="CP7" s="1537"/>
      <c r="CQ7" s="1537"/>
      <c r="CR7" s="1537"/>
      <c r="CS7" s="1537"/>
      <c r="CT7" s="1537"/>
      <c r="CU7" s="1537"/>
      <c r="CV7" s="1537"/>
      <c r="CW7" s="1537"/>
      <c r="CX7" s="1537"/>
      <c r="CY7" s="1537"/>
      <c r="CZ7" s="1537"/>
      <c r="DA7" s="1537"/>
      <c r="DB7" s="1537"/>
      <c r="DC7" s="1537"/>
      <c r="DD7" s="1537"/>
      <c r="DE7" s="1537"/>
      <c r="DF7" s="1537"/>
      <c r="DG7" s="1537"/>
      <c r="DH7" s="1537"/>
      <c r="DI7" s="1537"/>
      <c r="DJ7" s="1537"/>
      <c r="DK7" s="1537"/>
      <c r="DL7" s="1537"/>
      <c r="DM7" s="1537"/>
      <c r="DN7" s="1537"/>
      <c r="DO7" s="1537"/>
      <c r="DP7" s="1537"/>
      <c r="DQ7" s="1537"/>
      <c r="DR7" s="1537"/>
      <c r="DS7" s="1537"/>
      <c r="DT7" s="1537"/>
      <c r="DU7" s="1537"/>
      <c r="DV7" s="1537"/>
      <c r="DW7" s="1537"/>
      <c r="DX7" s="1537"/>
      <c r="DY7" s="1537"/>
      <c r="DZ7" s="1537"/>
      <c r="EA7" s="1537"/>
      <c r="EB7" s="1537"/>
      <c r="EC7" s="1537"/>
      <c r="ED7" s="1537"/>
      <c r="EE7" s="1537"/>
      <c r="EF7" s="1537"/>
      <c r="EG7" s="1537"/>
      <c r="EH7" s="1537"/>
      <c r="EI7" s="1537"/>
      <c r="EJ7" s="1537"/>
      <c r="EK7" s="1537"/>
      <c r="EL7" s="1537"/>
      <c r="EM7" s="1537"/>
      <c r="EN7" s="1537"/>
      <c r="EO7" s="1537"/>
      <c r="EP7" s="1537"/>
      <c r="EQ7" s="1537"/>
      <c r="ER7" s="1537"/>
      <c r="ES7" s="1537"/>
      <c r="ET7" s="1537"/>
      <c r="EU7" s="1537"/>
      <c r="EV7" s="1537"/>
      <c r="EW7" s="1537"/>
      <c r="EX7" s="1537"/>
      <c r="EY7" s="1537"/>
      <c r="EZ7" s="1537"/>
      <c r="FA7" s="1537"/>
      <c r="FB7" s="1537"/>
      <c r="FC7" s="1537"/>
      <c r="FD7" s="1537"/>
      <c r="FE7" s="1537"/>
      <c r="FF7" s="1537"/>
      <c r="FG7" s="1537"/>
      <c r="FH7" s="1537"/>
      <c r="FI7" s="1537"/>
      <c r="FJ7" s="1537"/>
      <c r="FK7" s="1537"/>
      <c r="FL7" s="1537"/>
      <c r="FM7" s="1537"/>
      <c r="FN7" s="1537"/>
      <c r="FO7" s="1537"/>
      <c r="FP7" s="1537"/>
      <c r="FQ7" s="1537"/>
      <c r="FR7" s="1537"/>
      <c r="FS7" s="1537"/>
      <c r="FT7" s="1537"/>
      <c r="FU7" s="1537"/>
      <c r="FV7" s="1537"/>
      <c r="FW7" s="1537"/>
      <c r="FX7" s="1537"/>
      <c r="FY7" s="1537"/>
      <c r="FZ7" s="1537"/>
      <c r="GA7" s="1537"/>
      <c r="GB7" s="1537"/>
      <c r="GC7" s="1537"/>
      <c r="GD7" s="1537"/>
      <c r="GE7" s="1537"/>
      <c r="GF7" s="1537"/>
      <c r="GG7" s="1537"/>
      <c r="GH7" s="1537"/>
      <c r="GI7" s="1537"/>
      <c r="GJ7" s="1537"/>
      <c r="GK7" s="1537"/>
      <c r="GL7" s="1537"/>
      <c r="GM7" s="1537"/>
      <c r="GN7" s="1537"/>
      <c r="GO7" s="1537"/>
      <c r="GP7" s="1537"/>
      <c r="GQ7" s="1537"/>
      <c r="GR7" s="1537"/>
      <c r="GS7" s="1537"/>
      <c r="GT7" s="1537"/>
      <c r="GU7" s="1537"/>
      <c r="GV7" s="1537"/>
      <c r="GW7" s="1537"/>
      <c r="GX7" s="1537"/>
      <c r="GY7" s="1537"/>
      <c r="GZ7" s="1537"/>
      <c r="HA7" s="1537"/>
      <c r="HB7" s="1537"/>
      <c r="HC7" s="1537"/>
      <c r="HD7" s="1537"/>
      <c r="HE7" s="1537"/>
      <c r="HF7" s="1537"/>
      <c r="HG7" s="1537"/>
      <c r="HH7" s="1537"/>
      <c r="HI7" s="1537"/>
      <c r="HJ7" s="1537"/>
      <c r="HK7" s="1537"/>
      <c r="HL7" s="1537"/>
      <c r="HM7" s="1537"/>
      <c r="HN7" s="1537"/>
      <c r="HO7" s="1537"/>
      <c r="HP7" s="1537"/>
      <c r="HQ7" s="1537"/>
      <c r="HR7" s="1537"/>
      <c r="HS7" s="1537"/>
      <c r="HT7" s="1537"/>
      <c r="HU7" s="1537"/>
      <c r="HV7" s="1537"/>
      <c r="HW7" s="1537"/>
      <c r="HX7" s="1537"/>
      <c r="HY7" s="1537"/>
      <c r="HZ7" s="1537"/>
      <c r="IA7" s="1537"/>
      <c r="IB7" s="1537"/>
      <c r="IC7" s="1537"/>
      <c r="ID7" s="1537"/>
      <c r="IE7" s="1537"/>
      <c r="IF7" s="1537"/>
      <c r="IG7" s="1537"/>
      <c r="IH7" s="1537"/>
      <c r="II7" s="1537"/>
      <c r="IJ7" s="1537"/>
      <c r="IK7" s="1537"/>
      <c r="IL7" s="1537"/>
      <c r="IM7" s="1537"/>
      <c r="IN7" s="1537"/>
      <c r="IO7" s="1537"/>
      <c r="IP7" s="1537"/>
      <c r="IQ7" s="1537"/>
      <c r="IR7" s="1537"/>
    </row>
    <row r="8" spans="1:252" s="1708" customFormat="1" ht="15.75">
      <c r="B8" s="294"/>
      <c r="C8" s="294"/>
      <c r="D8" s="294"/>
      <c r="E8" s="294"/>
      <c r="F8" s="1537"/>
      <c r="G8" s="1537"/>
      <c r="H8" s="294"/>
      <c r="I8" s="294"/>
      <c r="J8" s="294"/>
      <c r="K8" s="294"/>
      <c r="L8" s="294"/>
      <c r="M8" s="294"/>
      <c r="N8" s="294"/>
      <c r="O8" s="294"/>
      <c r="P8" s="294"/>
      <c r="Q8" s="1710"/>
      <c r="R8" s="1711"/>
      <c r="S8" s="1455"/>
      <c r="T8" s="1711"/>
      <c r="U8" s="1455"/>
      <c r="V8" s="1455"/>
      <c r="W8" s="1537"/>
      <c r="X8" s="1537"/>
      <c r="Y8" s="1537"/>
      <c r="Z8" s="1537"/>
      <c r="AA8" s="1537"/>
      <c r="AB8" s="1537"/>
      <c r="AC8" s="1537"/>
      <c r="AD8" s="1537"/>
      <c r="AE8" s="1537"/>
      <c r="AF8" s="1537"/>
      <c r="AG8" s="1537"/>
      <c r="AH8" s="1537"/>
      <c r="AI8" s="1537"/>
      <c r="AJ8" s="1537"/>
      <c r="AK8" s="1537"/>
      <c r="AL8" s="1537"/>
      <c r="AM8" s="1537"/>
      <c r="AN8" s="1537"/>
      <c r="AO8" s="1537"/>
      <c r="AP8" s="1537"/>
      <c r="AQ8" s="1537"/>
      <c r="AR8" s="1537"/>
      <c r="AS8" s="1537"/>
      <c r="AT8" s="1537"/>
      <c r="AU8" s="1537"/>
      <c r="AV8" s="1537"/>
      <c r="AW8" s="1537"/>
      <c r="AX8" s="1537"/>
      <c r="AY8" s="1537"/>
      <c r="AZ8" s="1537"/>
      <c r="BA8" s="1537"/>
      <c r="BB8" s="1537"/>
      <c r="BC8" s="1537"/>
      <c r="BD8" s="1537"/>
      <c r="BE8" s="1537"/>
      <c r="BF8" s="1537"/>
      <c r="BG8" s="1537"/>
      <c r="BH8" s="1537"/>
      <c r="BI8" s="1537"/>
      <c r="BJ8" s="1537"/>
      <c r="BK8" s="1537"/>
      <c r="BL8" s="1537"/>
      <c r="BM8" s="1537"/>
      <c r="BN8" s="1537"/>
      <c r="BO8" s="1537"/>
      <c r="BP8" s="1537"/>
      <c r="BQ8" s="1537"/>
      <c r="BR8" s="1537"/>
      <c r="BS8" s="1537"/>
      <c r="BT8" s="1537"/>
      <c r="BU8" s="1537"/>
      <c r="BV8" s="1537"/>
      <c r="BW8" s="1537"/>
      <c r="BX8" s="1537"/>
      <c r="BY8" s="1537"/>
      <c r="BZ8" s="1537"/>
      <c r="CA8" s="1537"/>
      <c r="CB8" s="1537"/>
      <c r="CC8" s="1537"/>
      <c r="CD8" s="1537"/>
      <c r="CE8" s="1537"/>
      <c r="CF8" s="1537"/>
      <c r="CG8" s="1537"/>
      <c r="CH8" s="1537"/>
      <c r="CI8" s="1537"/>
      <c r="CJ8" s="1537"/>
      <c r="CK8" s="1537"/>
      <c r="CL8" s="1537"/>
      <c r="CM8" s="1537"/>
      <c r="CN8" s="1537"/>
      <c r="CO8" s="1537"/>
      <c r="CP8" s="1537"/>
      <c r="CQ8" s="1537"/>
      <c r="CR8" s="1537"/>
      <c r="CS8" s="1537"/>
      <c r="CT8" s="1537"/>
      <c r="CU8" s="1537"/>
      <c r="CV8" s="1537"/>
      <c r="CW8" s="1537"/>
      <c r="CX8" s="1537"/>
      <c r="CY8" s="1537"/>
      <c r="CZ8" s="1537"/>
      <c r="DA8" s="1537"/>
      <c r="DB8" s="1537"/>
      <c r="DC8" s="1537"/>
      <c r="DD8" s="1537"/>
      <c r="DE8" s="1537"/>
      <c r="DF8" s="1537"/>
      <c r="DG8" s="1537"/>
      <c r="DH8" s="1537"/>
      <c r="DI8" s="1537"/>
      <c r="DJ8" s="1537"/>
      <c r="DK8" s="1537"/>
      <c r="DL8" s="1537"/>
      <c r="DM8" s="1537"/>
      <c r="DN8" s="1537"/>
      <c r="DO8" s="1537"/>
      <c r="DP8" s="1537"/>
      <c r="DQ8" s="1537"/>
      <c r="DR8" s="1537"/>
      <c r="DS8" s="1537"/>
      <c r="DT8" s="1537"/>
      <c r="DU8" s="1537"/>
      <c r="DV8" s="1537"/>
      <c r="DW8" s="1537"/>
      <c r="DX8" s="1537"/>
      <c r="DY8" s="1537"/>
      <c r="DZ8" s="1537"/>
      <c r="EA8" s="1537"/>
      <c r="EB8" s="1537"/>
      <c r="EC8" s="1537"/>
      <c r="ED8" s="1537"/>
      <c r="EE8" s="1537"/>
      <c r="EF8" s="1537"/>
      <c r="EG8" s="1537"/>
      <c r="EH8" s="1537"/>
      <c r="EI8" s="1537"/>
      <c r="EJ8" s="1537"/>
      <c r="EK8" s="1537"/>
      <c r="EL8" s="1537"/>
      <c r="EM8" s="1537"/>
      <c r="EN8" s="1537"/>
      <c r="EO8" s="1537"/>
      <c r="EP8" s="1537"/>
      <c r="EQ8" s="1537"/>
      <c r="ER8" s="1537"/>
      <c r="ES8" s="1537"/>
      <c r="ET8" s="1537"/>
      <c r="EU8" s="1537"/>
      <c r="EV8" s="1537"/>
      <c r="EW8" s="1537"/>
      <c r="EX8" s="1537"/>
      <c r="EY8" s="1537"/>
      <c r="EZ8" s="1537"/>
      <c r="FA8" s="1537"/>
      <c r="FB8" s="1537"/>
      <c r="FC8" s="1537"/>
      <c r="FD8" s="1537"/>
      <c r="FE8" s="1537"/>
      <c r="FF8" s="1537"/>
      <c r="FG8" s="1537"/>
      <c r="FH8" s="1537"/>
      <c r="FI8" s="1537"/>
      <c r="FJ8" s="1537"/>
      <c r="FK8" s="1537"/>
      <c r="FL8" s="1537"/>
      <c r="FM8" s="1537"/>
      <c r="FN8" s="1537"/>
      <c r="FO8" s="1537"/>
      <c r="FP8" s="1537"/>
      <c r="FQ8" s="1537"/>
      <c r="FR8" s="1537"/>
      <c r="FS8" s="1537"/>
      <c r="FT8" s="1537"/>
      <c r="FU8" s="1537"/>
      <c r="FV8" s="1537"/>
      <c r="FW8" s="1537"/>
      <c r="FX8" s="1537"/>
      <c r="FY8" s="1537"/>
      <c r="FZ8" s="1537"/>
      <c r="GA8" s="1537"/>
      <c r="GB8" s="1537"/>
      <c r="GC8" s="1537"/>
      <c r="GD8" s="1537"/>
      <c r="GE8" s="1537"/>
      <c r="GF8" s="1537"/>
      <c r="GG8" s="1537"/>
      <c r="GH8" s="1537"/>
      <c r="GI8" s="1537"/>
      <c r="GJ8" s="1537"/>
      <c r="GK8" s="1537"/>
      <c r="GL8" s="1537"/>
      <c r="GM8" s="1537"/>
      <c r="GN8" s="1537"/>
      <c r="GO8" s="1537"/>
      <c r="GP8" s="1537"/>
      <c r="GQ8" s="1537"/>
      <c r="GR8" s="1537"/>
      <c r="GS8" s="1537"/>
      <c r="GT8" s="1537"/>
      <c r="GU8" s="1537"/>
      <c r="GV8" s="1537"/>
      <c r="GW8" s="1537"/>
      <c r="GX8" s="1537"/>
      <c r="GY8" s="1537"/>
      <c r="GZ8" s="1537"/>
      <c r="HA8" s="1537"/>
      <c r="HB8" s="1537"/>
      <c r="HC8" s="1537"/>
      <c r="HD8" s="1537"/>
      <c r="HE8" s="1537"/>
      <c r="HF8" s="1537"/>
      <c r="HG8" s="1537"/>
      <c r="HH8" s="1537"/>
      <c r="HI8" s="1537"/>
      <c r="HJ8" s="1537"/>
      <c r="HK8" s="1537"/>
      <c r="HL8" s="1537"/>
      <c r="HM8" s="1537"/>
      <c r="HN8" s="1537"/>
      <c r="HO8" s="1537"/>
      <c r="HP8" s="1537"/>
      <c r="HQ8" s="1537"/>
      <c r="HR8" s="1537"/>
      <c r="HS8" s="1537"/>
      <c r="HT8" s="1537"/>
      <c r="HU8" s="1537"/>
      <c r="HV8" s="1537"/>
      <c r="HW8" s="1537"/>
      <c r="HX8" s="1537"/>
      <c r="HY8" s="1537"/>
      <c r="HZ8" s="1537"/>
      <c r="IA8" s="1537"/>
      <c r="IB8" s="1537"/>
      <c r="IC8" s="1537"/>
      <c r="ID8" s="1537"/>
      <c r="IE8" s="1537"/>
      <c r="IF8" s="1537"/>
      <c r="IG8" s="1537"/>
      <c r="IH8" s="1537"/>
      <c r="II8" s="1537"/>
      <c r="IJ8" s="1537"/>
      <c r="IK8" s="1537"/>
      <c r="IL8" s="1537"/>
      <c r="IM8" s="1537"/>
      <c r="IN8" s="1537"/>
      <c r="IO8" s="1537"/>
      <c r="IP8" s="1537"/>
      <c r="IQ8" s="1537"/>
      <c r="IR8" s="1537"/>
    </row>
    <row r="9" spans="1:252" s="1708" customFormat="1" ht="8.1" customHeight="1">
      <c r="A9" s="1710"/>
      <c r="B9" s="294"/>
      <c r="C9" s="294"/>
      <c r="D9" s="294"/>
      <c r="E9" s="294"/>
      <c r="F9" s="294"/>
      <c r="G9" s="1537"/>
      <c r="H9" s="294"/>
      <c r="I9" s="294"/>
      <c r="J9" s="294"/>
      <c r="K9" s="294"/>
      <c r="L9" s="294"/>
      <c r="M9" s="294"/>
      <c r="N9" s="294"/>
      <c r="O9" s="294"/>
      <c r="P9" s="294"/>
      <c r="Q9" s="1710"/>
      <c r="R9" s="1712"/>
      <c r="S9" s="1710"/>
      <c r="T9" s="1707"/>
      <c r="U9" s="1537"/>
      <c r="V9" s="1537"/>
      <c r="W9" s="1537"/>
      <c r="X9" s="1537"/>
      <c r="Y9" s="1537"/>
      <c r="Z9" s="1537"/>
      <c r="AA9" s="1537"/>
      <c r="AB9" s="1537"/>
      <c r="AC9" s="1537"/>
      <c r="AD9" s="1537"/>
      <c r="AE9" s="1537"/>
      <c r="AF9" s="1537"/>
      <c r="AG9" s="1537"/>
      <c r="AH9" s="1537"/>
      <c r="AI9" s="1537"/>
      <c r="AJ9" s="1537"/>
      <c r="AK9" s="1537"/>
      <c r="AL9" s="1537"/>
      <c r="AM9" s="1537"/>
      <c r="AN9" s="1537"/>
      <c r="AO9" s="1537"/>
      <c r="AP9" s="1537"/>
      <c r="AQ9" s="1537"/>
      <c r="AR9" s="1537"/>
      <c r="AS9" s="1537"/>
      <c r="AT9" s="1537"/>
      <c r="AU9" s="1537"/>
      <c r="AV9" s="1537"/>
      <c r="AW9" s="1537"/>
      <c r="AX9" s="1537"/>
      <c r="AY9" s="1537"/>
      <c r="AZ9" s="1537"/>
      <c r="BA9" s="1537"/>
      <c r="BB9" s="1537"/>
      <c r="BC9" s="1537"/>
      <c r="BD9" s="1537"/>
      <c r="BE9" s="1537"/>
      <c r="BF9" s="1537"/>
      <c r="BG9" s="1537"/>
      <c r="BH9" s="1537"/>
      <c r="BI9" s="1537"/>
      <c r="BJ9" s="1537"/>
      <c r="BK9" s="1537"/>
      <c r="BL9" s="1537"/>
      <c r="BM9" s="1537"/>
      <c r="BN9" s="1537"/>
      <c r="BO9" s="1537"/>
      <c r="BP9" s="1537"/>
      <c r="BQ9" s="1537"/>
      <c r="BR9" s="1537"/>
      <c r="BS9" s="1537"/>
      <c r="BT9" s="1537"/>
      <c r="BU9" s="1537"/>
      <c r="BV9" s="1537"/>
      <c r="BW9" s="1537"/>
      <c r="BX9" s="1537"/>
      <c r="BY9" s="1537"/>
      <c r="BZ9" s="1537"/>
      <c r="CA9" s="1537"/>
      <c r="CB9" s="1537"/>
      <c r="CC9" s="1537"/>
      <c r="CD9" s="1537"/>
      <c r="CE9" s="1537"/>
      <c r="CF9" s="1537"/>
      <c r="CG9" s="1537"/>
      <c r="CH9" s="1537"/>
      <c r="CI9" s="1537"/>
      <c r="CJ9" s="1537"/>
      <c r="CK9" s="1537"/>
      <c r="CL9" s="1537"/>
      <c r="CM9" s="1537"/>
      <c r="CN9" s="1537"/>
      <c r="CO9" s="1537"/>
      <c r="CP9" s="1537"/>
      <c r="CQ9" s="1537"/>
      <c r="CR9" s="1537"/>
      <c r="CS9" s="1537"/>
      <c r="CT9" s="1537"/>
      <c r="CU9" s="1537"/>
      <c r="CV9" s="1537"/>
      <c r="CW9" s="1537"/>
      <c r="CX9" s="1537"/>
      <c r="CY9" s="1537"/>
      <c r="CZ9" s="1537"/>
      <c r="DA9" s="1537"/>
      <c r="DB9" s="1537"/>
      <c r="DC9" s="1537"/>
      <c r="DD9" s="1537"/>
      <c r="DE9" s="1537"/>
      <c r="DF9" s="1537"/>
      <c r="DG9" s="1537"/>
      <c r="DH9" s="1537"/>
      <c r="DI9" s="1537"/>
      <c r="DJ9" s="1537"/>
      <c r="DK9" s="1537"/>
      <c r="DL9" s="1537"/>
      <c r="DM9" s="1537"/>
      <c r="DN9" s="1537"/>
      <c r="DO9" s="1537"/>
      <c r="DP9" s="1537"/>
      <c r="DQ9" s="1537"/>
      <c r="DR9" s="1537"/>
      <c r="DS9" s="1537"/>
      <c r="DT9" s="1537"/>
      <c r="DU9" s="1537"/>
      <c r="DV9" s="1537"/>
      <c r="DW9" s="1537"/>
      <c r="DX9" s="1537"/>
      <c r="DY9" s="1537"/>
      <c r="DZ9" s="1537"/>
      <c r="EA9" s="1537"/>
      <c r="EB9" s="1537"/>
      <c r="EC9" s="1537"/>
      <c r="ED9" s="1537"/>
      <c r="EE9" s="1537"/>
      <c r="EF9" s="1537"/>
      <c r="EG9" s="1537"/>
      <c r="EH9" s="1537"/>
      <c r="EI9" s="1537"/>
      <c r="EJ9" s="1537"/>
      <c r="EK9" s="1537"/>
      <c r="EL9" s="1537"/>
      <c r="EM9" s="1537"/>
      <c r="EN9" s="1537"/>
      <c r="EO9" s="1537"/>
      <c r="EP9" s="1537"/>
      <c r="EQ9" s="1537"/>
      <c r="ER9" s="1537"/>
      <c r="ES9" s="1537"/>
      <c r="ET9" s="1537"/>
      <c r="EU9" s="1537"/>
      <c r="EV9" s="1537"/>
      <c r="EW9" s="1537"/>
      <c r="EX9" s="1537"/>
      <c r="EY9" s="1537"/>
      <c r="EZ9" s="1537"/>
      <c r="FA9" s="1537"/>
      <c r="FB9" s="1537"/>
      <c r="FC9" s="1537"/>
      <c r="FD9" s="1537"/>
      <c r="FE9" s="1537"/>
      <c r="FF9" s="1537"/>
      <c r="FG9" s="1537"/>
      <c r="FH9" s="1537"/>
      <c r="FI9" s="1537"/>
      <c r="FJ9" s="1537"/>
      <c r="FK9" s="1537"/>
      <c r="FL9" s="1537"/>
      <c r="FM9" s="1537"/>
      <c r="FN9" s="1537"/>
      <c r="FO9" s="1537"/>
      <c r="FP9" s="1537"/>
      <c r="FQ9" s="1537"/>
      <c r="FR9" s="1537"/>
      <c r="FS9" s="1537"/>
      <c r="FT9" s="1537"/>
      <c r="FU9" s="1537"/>
      <c r="FV9" s="1537"/>
      <c r="FW9" s="1537"/>
      <c r="FX9" s="1537"/>
      <c r="FY9" s="1537"/>
      <c r="FZ9" s="1537"/>
      <c r="GA9" s="1537"/>
      <c r="GB9" s="1537"/>
      <c r="GC9" s="1537"/>
      <c r="GD9" s="1537"/>
      <c r="GE9" s="1537"/>
      <c r="GF9" s="1537"/>
      <c r="GG9" s="1537"/>
      <c r="GH9" s="1537"/>
      <c r="GI9" s="1537"/>
      <c r="GJ9" s="1537"/>
      <c r="GK9" s="1537"/>
      <c r="GL9" s="1537"/>
      <c r="GM9" s="1537"/>
      <c r="GN9" s="1537"/>
      <c r="GO9" s="1537"/>
      <c r="GP9" s="1537"/>
      <c r="GQ9" s="1537"/>
      <c r="GR9" s="1537"/>
      <c r="GS9" s="1537"/>
      <c r="GT9" s="1537"/>
      <c r="GU9" s="1537"/>
      <c r="GV9" s="1537"/>
      <c r="GW9" s="1537"/>
      <c r="GX9" s="1537"/>
      <c r="GY9" s="1537"/>
      <c r="GZ9" s="1537"/>
      <c r="HA9" s="1537"/>
      <c r="HB9" s="1537"/>
      <c r="HC9" s="1537"/>
      <c r="HD9" s="1537"/>
      <c r="HE9" s="1537"/>
      <c r="HF9" s="1537"/>
      <c r="HG9" s="1537"/>
      <c r="HH9" s="1537"/>
      <c r="HI9" s="1537"/>
      <c r="HJ9" s="1537"/>
      <c r="HK9" s="1537"/>
      <c r="HL9" s="1537"/>
      <c r="HM9" s="1537"/>
      <c r="HN9" s="1537"/>
      <c r="HO9" s="1537"/>
      <c r="HP9" s="1537"/>
      <c r="HQ9" s="1537"/>
      <c r="HR9" s="1537"/>
      <c r="HS9" s="1537"/>
      <c r="HT9" s="1537"/>
      <c r="HU9" s="1537"/>
      <c r="HV9" s="1537"/>
      <c r="HW9" s="1537"/>
      <c r="HX9" s="1537"/>
      <c r="HY9" s="1537"/>
      <c r="HZ9" s="1537"/>
      <c r="IA9" s="1537"/>
      <c r="IB9" s="1537"/>
      <c r="IC9" s="1537"/>
      <c r="ID9" s="1537"/>
      <c r="IE9" s="1537"/>
      <c r="IF9" s="1537"/>
      <c r="IG9" s="1537"/>
      <c r="IH9" s="1537"/>
      <c r="II9" s="1537"/>
      <c r="IJ9" s="1537"/>
      <c r="IK9" s="1537"/>
      <c r="IL9" s="1537"/>
      <c r="IM9" s="1537"/>
      <c r="IN9" s="1537"/>
      <c r="IO9" s="1537"/>
      <c r="IP9" s="1537"/>
      <c r="IQ9" s="1537"/>
      <c r="IR9" s="1537"/>
    </row>
    <row r="10" spans="1:252" s="1708" customFormat="1" ht="15.75">
      <c r="A10" s="1710"/>
      <c r="B10" s="294"/>
      <c r="C10" s="294"/>
      <c r="D10" s="294"/>
      <c r="E10" s="294"/>
      <c r="F10" s="294"/>
      <c r="G10" s="1537"/>
      <c r="H10" s="294"/>
      <c r="I10" s="294"/>
      <c r="J10" s="294"/>
      <c r="K10" s="294"/>
      <c r="L10" s="294"/>
      <c r="M10" s="294"/>
      <c r="N10" s="294"/>
      <c r="O10" s="294"/>
      <c r="P10" s="294"/>
      <c r="Q10" s="1710"/>
      <c r="R10" s="1711"/>
      <c r="S10" s="1455"/>
      <c r="T10" s="1711"/>
      <c r="U10" s="1455"/>
      <c r="V10" s="1455"/>
      <c r="W10" s="1537"/>
      <c r="X10" s="1537"/>
      <c r="Y10" s="1537"/>
      <c r="Z10" s="1537"/>
      <c r="AA10" s="1537"/>
      <c r="AB10" s="1537"/>
      <c r="AC10" s="1537"/>
      <c r="AD10" s="1537"/>
      <c r="AE10" s="1537"/>
      <c r="AF10" s="1537"/>
      <c r="AG10" s="1537"/>
      <c r="AH10" s="1537"/>
      <c r="AI10" s="1537"/>
      <c r="AJ10" s="1537"/>
      <c r="AK10" s="1537"/>
      <c r="AL10" s="1537"/>
      <c r="AM10" s="1537"/>
      <c r="AN10" s="1537"/>
      <c r="AO10" s="1537"/>
      <c r="AP10" s="1537"/>
      <c r="AQ10" s="1537"/>
      <c r="AR10" s="1537"/>
      <c r="AS10" s="1537"/>
      <c r="AT10" s="1537"/>
      <c r="AU10" s="1537"/>
      <c r="AV10" s="1537"/>
      <c r="AW10" s="1537"/>
      <c r="AX10" s="1537"/>
      <c r="AY10" s="1537"/>
      <c r="AZ10" s="1537"/>
      <c r="BA10" s="1537"/>
      <c r="BB10" s="1537"/>
      <c r="BC10" s="1537"/>
      <c r="BD10" s="1537"/>
      <c r="BE10" s="1537"/>
      <c r="BF10" s="1537"/>
      <c r="BG10" s="1537"/>
      <c r="BH10" s="1537"/>
      <c r="BI10" s="1537"/>
      <c r="BJ10" s="1537"/>
      <c r="BK10" s="1537"/>
      <c r="BL10" s="1537"/>
      <c r="BM10" s="1537"/>
      <c r="BN10" s="1537"/>
      <c r="BO10" s="1537"/>
      <c r="BP10" s="1537"/>
      <c r="BQ10" s="1537"/>
      <c r="BR10" s="1537"/>
      <c r="BS10" s="1537"/>
      <c r="BT10" s="1537"/>
      <c r="BU10" s="1537"/>
      <c r="BV10" s="1537"/>
      <c r="BW10" s="1537"/>
      <c r="BX10" s="1537"/>
      <c r="BY10" s="1537"/>
      <c r="BZ10" s="1537"/>
      <c r="CA10" s="1537"/>
      <c r="CB10" s="1537"/>
      <c r="CC10" s="1537"/>
      <c r="CD10" s="1537"/>
      <c r="CE10" s="1537"/>
      <c r="CF10" s="1537"/>
      <c r="CG10" s="1537"/>
      <c r="CH10" s="1537"/>
      <c r="CI10" s="1537"/>
      <c r="CJ10" s="1537"/>
      <c r="CK10" s="1537"/>
      <c r="CL10" s="1537"/>
      <c r="CM10" s="1537"/>
      <c r="CN10" s="1537"/>
      <c r="CO10" s="1537"/>
      <c r="CP10" s="1537"/>
      <c r="CQ10" s="1537"/>
      <c r="CR10" s="1537"/>
      <c r="CS10" s="1537"/>
      <c r="CT10" s="1537"/>
      <c r="CU10" s="1537"/>
      <c r="CV10" s="1537"/>
      <c r="CW10" s="1537"/>
      <c r="CX10" s="1537"/>
      <c r="CY10" s="1537"/>
      <c r="CZ10" s="1537"/>
      <c r="DA10" s="1537"/>
      <c r="DB10" s="1537"/>
      <c r="DC10" s="1537"/>
      <c r="DD10" s="1537"/>
      <c r="DE10" s="1537"/>
      <c r="DF10" s="1537"/>
      <c r="DG10" s="1537"/>
      <c r="DH10" s="1537"/>
      <c r="DI10" s="1537"/>
      <c r="DJ10" s="1537"/>
      <c r="DK10" s="1537"/>
      <c r="DL10" s="1537"/>
      <c r="DM10" s="1537"/>
      <c r="DN10" s="1537"/>
      <c r="DO10" s="1537"/>
      <c r="DP10" s="1537"/>
      <c r="DQ10" s="1537"/>
      <c r="DR10" s="1537"/>
      <c r="DS10" s="1537"/>
      <c r="DT10" s="1537"/>
      <c r="DU10" s="1537"/>
      <c r="DV10" s="1537"/>
      <c r="DW10" s="1537"/>
      <c r="DX10" s="1537"/>
      <c r="DY10" s="1537"/>
      <c r="DZ10" s="1537"/>
      <c r="EA10" s="1537"/>
      <c r="EB10" s="1537"/>
      <c r="EC10" s="1537"/>
      <c r="ED10" s="1537"/>
      <c r="EE10" s="1537"/>
      <c r="EF10" s="1537"/>
      <c r="EG10" s="1537"/>
      <c r="EH10" s="1537"/>
      <c r="EI10" s="1537"/>
      <c r="EJ10" s="1537"/>
      <c r="EK10" s="1537"/>
      <c r="EL10" s="1537"/>
      <c r="EM10" s="1537"/>
      <c r="EN10" s="1537"/>
      <c r="EO10" s="1537"/>
      <c r="EP10" s="1537"/>
      <c r="EQ10" s="1537"/>
      <c r="ER10" s="1537"/>
      <c r="ES10" s="1537"/>
      <c r="ET10" s="1537"/>
      <c r="EU10" s="1537"/>
      <c r="EV10" s="1537"/>
      <c r="EW10" s="1537"/>
      <c r="EX10" s="1537"/>
      <c r="EY10" s="1537"/>
      <c r="EZ10" s="1537"/>
      <c r="FA10" s="1537"/>
      <c r="FB10" s="1537"/>
      <c r="FC10" s="1537"/>
      <c r="FD10" s="1537"/>
      <c r="FE10" s="1537"/>
      <c r="FF10" s="1537"/>
      <c r="FG10" s="1537"/>
      <c r="FH10" s="1537"/>
      <c r="FI10" s="1537"/>
      <c r="FJ10" s="1537"/>
      <c r="FK10" s="1537"/>
      <c r="FL10" s="1537"/>
      <c r="FM10" s="1537"/>
      <c r="FN10" s="1537"/>
      <c r="FO10" s="1537"/>
      <c r="FP10" s="1537"/>
      <c r="FQ10" s="1537"/>
      <c r="FR10" s="1537"/>
      <c r="FS10" s="1537"/>
      <c r="FT10" s="1537"/>
      <c r="FU10" s="1537"/>
      <c r="FV10" s="1537"/>
      <c r="FW10" s="1537"/>
      <c r="FX10" s="1537"/>
      <c r="FY10" s="1537"/>
      <c r="FZ10" s="1537"/>
      <c r="GA10" s="1537"/>
      <c r="GB10" s="1537"/>
      <c r="GC10" s="1537"/>
      <c r="GD10" s="1537"/>
      <c r="GE10" s="1537"/>
      <c r="GF10" s="1537"/>
      <c r="GG10" s="1537"/>
      <c r="GH10" s="1537"/>
      <c r="GI10" s="1537"/>
      <c r="GJ10" s="1537"/>
      <c r="GK10" s="1537"/>
      <c r="GL10" s="1537"/>
      <c r="GM10" s="1537"/>
      <c r="GN10" s="1537"/>
      <c r="GO10" s="1537"/>
      <c r="GP10" s="1537"/>
      <c r="GQ10" s="1537"/>
      <c r="GR10" s="1537"/>
      <c r="GS10" s="1537"/>
      <c r="GT10" s="1537"/>
      <c r="GU10" s="1537"/>
      <c r="GV10" s="1537"/>
      <c r="GW10" s="1537"/>
      <c r="GX10" s="1537"/>
      <c r="GY10" s="1537"/>
      <c r="GZ10" s="1537"/>
      <c r="HA10" s="1537"/>
      <c r="HB10" s="1537"/>
      <c r="HC10" s="1537"/>
      <c r="HD10" s="1537"/>
      <c r="HE10" s="1537"/>
      <c r="HF10" s="1537"/>
      <c r="HG10" s="1537"/>
      <c r="HH10" s="1537"/>
      <c r="HI10" s="1537"/>
      <c r="HJ10" s="1537"/>
      <c r="HK10" s="1537"/>
      <c r="HL10" s="1537"/>
      <c r="HM10" s="1537"/>
      <c r="HN10" s="1537"/>
      <c r="HO10" s="1537"/>
      <c r="HP10" s="1537"/>
      <c r="HQ10" s="1537"/>
      <c r="HR10" s="1537"/>
      <c r="HS10" s="1537"/>
      <c r="HT10" s="1537"/>
      <c r="HU10" s="1537"/>
      <c r="HV10" s="1537"/>
      <c r="HW10" s="1537"/>
      <c r="HX10" s="1537"/>
      <c r="HY10" s="1537"/>
      <c r="HZ10" s="1537"/>
      <c r="IA10" s="1537"/>
      <c r="IB10" s="1537"/>
      <c r="IC10" s="1537"/>
      <c r="ID10" s="1537"/>
      <c r="IE10" s="1537"/>
      <c r="IF10" s="1537"/>
      <c r="IG10" s="1537"/>
      <c r="IH10" s="1537"/>
      <c r="II10" s="1537"/>
      <c r="IJ10" s="1537"/>
      <c r="IK10" s="1537"/>
      <c r="IL10" s="1537"/>
      <c r="IM10" s="1537"/>
      <c r="IN10" s="1537"/>
      <c r="IO10" s="1537"/>
      <c r="IP10" s="1537"/>
      <c r="IQ10" s="1537"/>
      <c r="IR10" s="1537"/>
    </row>
    <row r="11" spans="1:252" s="1708" customFormat="1" ht="15.75">
      <c r="A11" s="1710"/>
      <c r="B11" s="294"/>
      <c r="C11" s="294"/>
      <c r="D11" s="294"/>
      <c r="E11" s="294"/>
      <c r="F11" s="294"/>
      <c r="G11" s="1537"/>
      <c r="H11" s="294"/>
      <c r="I11" s="294"/>
      <c r="K11" s="299"/>
      <c r="L11" s="1538"/>
      <c r="M11" s="1538"/>
      <c r="N11" s="299"/>
      <c r="O11" s="299"/>
      <c r="P11" s="299"/>
      <c r="Q11" s="1710"/>
      <c r="R11" s="1711"/>
      <c r="S11" s="1455"/>
      <c r="T11" s="1711"/>
      <c r="U11" s="1455"/>
      <c r="V11" s="1455"/>
      <c r="W11" s="1537"/>
      <c r="X11" s="1537"/>
      <c r="Y11" s="1537"/>
      <c r="Z11" s="1537"/>
      <c r="AA11" s="1537"/>
      <c r="AB11" s="1537"/>
      <c r="AC11" s="1537"/>
      <c r="AD11" s="1537"/>
      <c r="AE11" s="1537"/>
      <c r="AF11" s="1537"/>
      <c r="AG11" s="1537"/>
      <c r="AH11" s="1537"/>
      <c r="AI11" s="1537"/>
      <c r="AJ11" s="1537"/>
      <c r="AK11" s="1537"/>
      <c r="AL11" s="1537"/>
      <c r="AM11" s="1537"/>
      <c r="AN11" s="1537"/>
      <c r="AO11" s="1537"/>
      <c r="AP11" s="1537"/>
      <c r="AQ11" s="1537"/>
      <c r="AR11" s="1537"/>
      <c r="AS11" s="1537"/>
      <c r="AT11" s="1537"/>
      <c r="AU11" s="1537"/>
      <c r="AV11" s="1537"/>
      <c r="AW11" s="1537"/>
      <c r="AX11" s="1537"/>
      <c r="AY11" s="1537"/>
      <c r="AZ11" s="1537"/>
      <c r="BA11" s="1537"/>
      <c r="BB11" s="1537"/>
      <c r="BC11" s="1537"/>
      <c r="BD11" s="1537"/>
      <c r="BE11" s="1537"/>
      <c r="BF11" s="1537"/>
      <c r="BG11" s="1537"/>
      <c r="BH11" s="1537"/>
      <c r="BI11" s="1537"/>
      <c r="BJ11" s="1537"/>
      <c r="BK11" s="1537"/>
      <c r="BL11" s="1537"/>
      <c r="BM11" s="1537"/>
      <c r="BN11" s="1537"/>
      <c r="BO11" s="1537"/>
      <c r="BP11" s="1537"/>
      <c r="BQ11" s="1537"/>
      <c r="BR11" s="1537"/>
      <c r="BS11" s="1537"/>
      <c r="BT11" s="1537"/>
      <c r="BU11" s="1537"/>
      <c r="BV11" s="1537"/>
      <c r="BW11" s="1537"/>
      <c r="BX11" s="1537"/>
      <c r="BY11" s="1537"/>
      <c r="BZ11" s="1537"/>
      <c r="CA11" s="1537"/>
      <c r="CB11" s="1537"/>
      <c r="CC11" s="1537"/>
      <c r="CD11" s="1537"/>
      <c r="CE11" s="1537"/>
      <c r="CF11" s="1537"/>
      <c r="CG11" s="1537"/>
      <c r="CH11" s="1537"/>
      <c r="CI11" s="1537"/>
      <c r="CJ11" s="1537"/>
      <c r="CK11" s="1537"/>
      <c r="CL11" s="1537"/>
      <c r="CM11" s="1537"/>
      <c r="CN11" s="1537"/>
      <c r="CO11" s="1537"/>
      <c r="CP11" s="1537"/>
      <c r="CQ11" s="1537"/>
      <c r="CR11" s="1537"/>
      <c r="CS11" s="1537"/>
      <c r="CT11" s="1537"/>
      <c r="CU11" s="1537"/>
      <c r="CV11" s="1537"/>
      <c r="CW11" s="1537"/>
      <c r="CX11" s="1537"/>
      <c r="CY11" s="1537"/>
      <c r="CZ11" s="1537"/>
      <c r="DA11" s="1537"/>
      <c r="DB11" s="1537"/>
      <c r="DC11" s="1537"/>
      <c r="DD11" s="1537"/>
      <c r="DE11" s="1537"/>
      <c r="DF11" s="1537"/>
      <c r="DG11" s="1537"/>
      <c r="DH11" s="1537"/>
      <c r="DI11" s="1537"/>
      <c r="DJ11" s="1537"/>
      <c r="DK11" s="1537"/>
      <c r="DL11" s="1537"/>
      <c r="DM11" s="1537"/>
      <c r="DN11" s="1537"/>
      <c r="DO11" s="1537"/>
      <c r="DP11" s="1537"/>
      <c r="DQ11" s="1537"/>
      <c r="DR11" s="1537"/>
      <c r="DS11" s="1537"/>
      <c r="DT11" s="1537"/>
      <c r="DU11" s="1537"/>
      <c r="DV11" s="1537"/>
      <c r="DW11" s="1537"/>
      <c r="DX11" s="1537"/>
      <c r="DY11" s="1537"/>
      <c r="DZ11" s="1537"/>
      <c r="EA11" s="1537"/>
      <c r="EB11" s="1537"/>
      <c r="EC11" s="1537"/>
      <c r="ED11" s="1537"/>
      <c r="EE11" s="1537"/>
      <c r="EF11" s="1537"/>
      <c r="EG11" s="1537"/>
      <c r="EH11" s="1537"/>
      <c r="EI11" s="1537"/>
      <c r="EJ11" s="1537"/>
      <c r="EK11" s="1537"/>
      <c r="EL11" s="1537"/>
      <c r="EM11" s="1537"/>
      <c r="EN11" s="1537"/>
      <c r="EO11" s="1537"/>
      <c r="EP11" s="1537"/>
      <c r="EQ11" s="1537"/>
      <c r="ER11" s="1537"/>
      <c r="ES11" s="1537"/>
      <c r="ET11" s="1537"/>
      <c r="EU11" s="1537"/>
      <c r="EV11" s="1537"/>
      <c r="EW11" s="1537"/>
      <c r="EX11" s="1537"/>
      <c r="EY11" s="1537"/>
      <c r="EZ11" s="1537"/>
      <c r="FA11" s="1537"/>
      <c r="FB11" s="1537"/>
      <c r="FC11" s="1537"/>
      <c r="FD11" s="1537"/>
      <c r="FE11" s="1537"/>
      <c r="FF11" s="1537"/>
      <c r="FG11" s="1537"/>
      <c r="FH11" s="1537"/>
      <c r="FI11" s="1537"/>
      <c r="FJ11" s="1537"/>
      <c r="FK11" s="1537"/>
      <c r="FL11" s="1537"/>
      <c r="FM11" s="1537"/>
      <c r="FN11" s="1537"/>
      <c r="FO11" s="1537"/>
      <c r="FP11" s="1537"/>
      <c r="FQ11" s="1537"/>
      <c r="FR11" s="1537"/>
      <c r="FS11" s="1537"/>
      <c r="FT11" s="1537"/>
      <c r="FU11" s="1537"/>
      <c r="FV11" s="1537"/>
      <c r="FW11" s="1537"/>
      <c r="FX11" s="1537"/>
      <c r="FY11" s="1537"/>
      <c r="FZ11" s="1537"/>
      <c r="GA11" s="1537"/>
      <c r="GB11" s="1537"/>
      <c r="GC11" s="1537"/>
      <c r="GD11" s="1537"/>
      <c r="GE11" s="1537"/>
      <c r="GF11" s="1537"/>
      <c r="GG11" s="1537"/>
      <c r="GH11" s="1537"/>
      <c r="GI11" s="1537"/>
      <c r="GJ11" s="1537"/>
      <c r="GK11" s="1537"/>
      <c r="GL11" s="1537"/>
      <c r="GM11" s="1537"/>
      <c r="GN11" s="1537"/>
      <c r="GO11" s="1537"/>
      <c r="GP11" s="1537"/>
      <c r="GQ11" s="1537"/>
      <c r="GR11" s="1537"/>
      <c r="GS11" s="1537"/>
      <c r="GT11" s="1537"/>
      <c r="GU11" s="1537"/>
      <c r="GV11" s="1537"/>
      <c r="GW11" s="1537"/>
      <c r="GX11" s="1537"/>
      <c r="GY11" s="1537"/>
      <c r="GZ11" s="1537"/>
      <c r="HA11" s="1537"/>
      <c r="HB11" s="1537"/>
      <c r="HC11" s="1537"/>
      <c r="HD11" s="1537"/>
      <c r="HE11" s="1537"/>
      <c r="HF11" s="1537"/>
      <c r="HG11" s="1537"/>
      <c r="HH11" s="1537"/>
      <c r="HI11" s="1537"/>
      <c r="HJ11" s="1537"/>
      <c r="HK11" s="1537"/>
      <c r="HL11" s="1537"/>
      <c r="HM11" s="1537"/>
      <c r="HN11" s="1537"/>
      <c r="HO11" s="1537"/>
      <c r="HP11" s="1537"/>
      <c r="HQ11" s="1537"/>
      <c r="HR11" s="1537"/>
      <c r="HS11" s="1537"/>
      <c r="HT11" s="1537"/>
      <c r="HU11" s="1537"/>
      <c r="HV11" s="1537"/>
      <c r="HW11" s="1537"/>
      <c r="HX11" s="1537"/>
      <c r="HY11" s="1537"/>
      <c r="HZ11" s="1537"/>
      <c r="IA11" s="1537"/>
      <c r="IB11" s="1537"/>
      <c r="IC11" s="1537"/>
      <c r="ID11" s="1537"/>
      <c r="IE11" s="1537"/>
      <c r="IF11" s="1537"/>
      <c r="IG11" s="1537"/>
      <c r="IH11" s="1537"/>
      <c r="II11" s="1537"/>
      <c r="IJ11" s="1537"/>
      <c r="IK11" s="1537"/>
      <c r="IL11" s="1537"/>
      <c r="IM11" s="1537"/>
      <c r="IN11" s="1537"/>
      <c r="IO11" s="1537"/>
      <c r="IP11" s="1537"/>
      <c r="IQ11" s="1537"/>
      <c r="IR11" s="1537"/>
    </row>
    <row r="12" spans="1:252" ht="15.95" customHeight="1">
      <c r="A12" s="1710"/>
      <c r="B12" s="299" t="s">
        <v>81</v>
      </c>
      <c r="C12" s="1713"/>
      <c r="D12" s="299"/>
      <c r="E12" s="294"/>
      <c r="F12" s="299" t="s">
        <v>82</v>
      </c>
      <c r="G12" s="1713"/>
      <c r="H12" s="299"/>
      <c r="I12" s="294"/>
      <c r="J12" s="299" t="s">
        <v>83</v>
      </c>
      <c r="K12" s="299"/>
      <c r="L12" s="1538"/>
      <c r="M12" s="299"/>
      <c r="N12" s="299"/>
      <c r="O12" s="299"/>
      <c r="P12" s="299"/>
      <c r="Q12" s="1710"/>
      <c r="R12" s="1714"/>
      <c r="S12" s="3740" t="s">
        <v>988</v>
      </c>
      <c r="T12" s="3740"/>
      <c r="U12" s="3740"/>
      <c r="V12" s="1455"/>
    </row>
    <row r="13" spans="1:252" ht="12.95" customHeight="1">
      <c r="A13" s="1710"/>
      <c r="B13" s="1715"/>
      <c r="C13" s="1715"/>
      <c r="D13" s="1715"/>
      <c r="E13" s="1710"/>
      <c r="F13" s="1715"/>
      <c r="G13" s="1716"/>
      <c r="H13" s="1715"/>
      <c r="I13" s="1710"/>
      <c r="J13" s="1715"/>
      <c r="K13" s="1715"/>
      <c r="L13" s="1715"/>
      <c r="M13" s="1715"/>
      <c r="N13" s="1715"/>
      <c r="O13" s="1715"/>
      <c r="P13" s="1715"/>
      <c r="Q13" s="1710"/>
      <c r="R13" s="1717"/>
      <c r="S13" s="1212"/>
      <c r="T13" s="1718"/>
      <c r="U13" s="1454"/>
      <c r="V13" s="1455"/>
    </row>
    <row r="14" spans="1:252" ht="15.95" customHeight="1">
      <c r="A14" s="1710"/>
      <c r="B14" s="1282" t="s">
        <v>7</v>
      </c>
      <c r="C14" s="294"/>
      <c r="D14" s="1283" t="str">
        <f>'Exhibit A'!F11</f>
        <v>1 MO. ENDED</v>
      </c>
      <c r="E14" s="294"/>
      <c r="F14" s="1282" t="s">
        <v>7</v>
      </c>
      <c r="G14" s="1284"/>
      <c r="H14" s="1282" t="str">
        <f>D14</f>
        <v>1 MO. ENDED</v>
      </c>
      <c r="I14" s="294"/>
      <c r="J14" s="1282" t="s">
        <v>7</v>
      </c>
      <c r="K14" s="294"/>
      <c r="L14" s="1282" t="str">
        <f>D14</f>
        <v>1 MO. ENDED</v>
      </c>
      <c r="M14" s="294"/>
      <c r="N14" s="1282" t="s">
        <v>7</v>
      </c>
      <c r="O14" s="294"/>
      <c r="P14" s="1282" t="str">
        <f>H14</f>
        <v>1 MO. ENDED</v>
      </c>
      <c r="Q14" s="1710"/>
      <c r="R14" s="1717"/>
      <c r="S14" s="1296" t="s">
        <v>8</v>
      </c>
      <c r="T14" s="400"/>
      <c r="U14" s="1297" t="s">
        <v>9</v>
      </c>
      <c r="V14" s="1455"/>
    </row>
    <row r="15" spans="1:252" ht="15.95" customHeight="1">
      <c r="A15" s="1710"/>
      <c r="B15" s="1556" t="str">
        <f>'Exhibit A'!D12</f>
        <v>APR. 2018</v>
      </c>
      <c r="C15" s="294"/>
      <c r="D15" s="1556" t="str">
        <f>'Exhibit A'!F12</f>
        <v>APR. 30, 2018</v>
      </c>
      <c r="E15" s="294"/>
      <c r="F15" s="1285" t="str">
        <f>+B15</f>
        <v>APR. 2018</v>
      </c>
      <c r="G15" s="294"/>
      <c r="H15" s="1286" t="str">
        <f>D15</f>
        <v>APR. 30, 2018</v>
      </c>
      <c r="I15" s="294"/>
      <c r="J15" s="1285" t="str">
        <f>+F15</f>
        <v>APR. 2018</v>
      </c>
      <c r="K15" s="294"/>
      <c r="L15" s="1286" t="str">
        <f>D15</f>
        <v>APR. 30, 2018</v>
      </c>
      <c r="M15" s="294"/>
      <c r="N15" s="1287" t="str">
        <f>'Exhibit A'!AB12</f>
        <v>APR. 2017</v>
      </c>
      <c r="O15" s="294"/>
      <c r="P15" s="1556" t="str">
        <f>'Exhibit A'!AD12</f>
        <v>APR. 30, 2017</v>
      </c>
      <c r="Q15" s="1710"/>
      <c r="R15" s="1717"/>
      <c r="S15" s="1302" t="s">
        <v>12</v>
      </c>
      <c r="T15" s="399"/>
      <c r="U15" s="1303" t="s">
        <v>13</v>
      </c>
      <c r="V15" s="1455"/>
    </row>
    <row r="16" spans="1:252" ht="12.95" customHeight="1">
      <c r="A16" s="1710"/>
      <c r="B16" s="1712"/>
      <c r="C16" s="1710"/>
      <c r="D16" s="1712" t="s">
        <v>15</v>
      </c>
      <c r="E16" s="1710"/>
      <c r="F16" s="1715"/>
      <c r="G16" s="1710"/>
      <c r="H16" s="1719" t="s">
        <v>15</v>
      </c>
      <c r="I16" s="1712"/>
      <c r="J16" s="1720"/>
      <c r="K16" s="1710"/>
      <c r="L16" s="1721"/>
      <c r="M16" s="1712"/>
      <c r="N16" s="1712"/>
      <c r="O16" s="1710"/>
      <c r="P16" s="1712"/>
      <c r="Q16" s="1710"/>
      <c r="R16" s="1722"/>
      <c r="S16" s="1455"/>
      <c r="T16" s="1712"/>
      <c r="U16" s="1455"/>
      <c r="V16" s="1455"/>
    </row>
    <row r="17" spans="1:245" ht="15.95" customHeight="1">
      <c r="A17" s="294" t="s">
        <v>14</v>
      </c>
      <c r="B17" s="1723"/>
      <c r="C17" s="1723"/>
      <c r="D17" s="1723"/>
      <c r="E17" s="1723"/>
      <c r="F17" s="1724"/>
      <c r="G17" s="1723"/>
      <c r="H17" s="1725"/>
      <c r="I17" s="1724"/>
      <c r="J17" s="1726"/>
      <c r="K17" s="1723"/>
      <c r="L17" s="1725"/>
      <c r="M17" s="1724"/>
      <c r="N17" s="1724"/>
      <c r="O17" s="1723"/>
      <c r="P17" s="1724"/>
      <c r="Q17" s="1710"/>
      <c r="R17" s="1727"/>
      <c r="S17" s="1455"/>
      <c r="T17" s="1724"/>
      <c r="U17" s="1455"/>
      <c r="V17" s="1455"/>
    </row>
    <row r="18" spans="1:245" ht="15.95" customHeight="1">
      <c r="A18" s="1710" t="s">
        <v>20</v>
      </c>
      <c r="B18" s="1728">
        <f>+'EXHIBIT L'!B16</f>
        <v>5.2</v>
      </c>
      <c r="C18" s="1543"/>
      <c r="D18" s="1542">
        <f>+'EXHIBIT L'!AA16</f>
        <v>5.2</v>
      </c>
      <c r="E18" s="1543"/>
      <c r="F18" s="1729">
        <f>'EXHIBIT M'!B16</f>
        <v>0.2</v>
      </c>
      <c r="G18" s="1543"/>
      <c r="H18" s="1730">
        <f>+'EXHIBIT M'!AA16</f>
        <v>0.2</v>
      </c>
      <c r="I18" s="1731"/>
      <c r="J18" s="1732">
        <f>SUM(B18)+SUM(F18)</f>
        <v>5.4</v>
      </c>
      <c r="K18" s="1543"/>
      <c r="L18" s="1730">
        <f>D18+SUM(H18)</f>
        <v>5.4</v>
      </c>
      <c r="M18" s="1731"/>
      <c r="N18" s="3468">
        <v>5.8999999999999995</v>
      </c>
      <c r="O18" s="1543"/>
      <c r="P18" s="3468">
        <f>'EXHIBIT L'!AD16+'EXHIBIT M'!AD16</f>
        <v>5.8999999999999995</v>
      </c>
      <c r="Q18" s="1733"/>
      <c r="R18" s="1734"/>
      <c r="S18" s="1895">
        <f>ROUND(SUM(L18-P18),1)</f>
        <v>-0.5</v>
      </c>
      <c r="T18" s="1735"/>
      <c r="U18" s="2250">
        <f>ROUND(IF(S18=0,0,S18/ABS(P18)),3)</f>
        <v>-8.5000000000000006E-2</v>
      </c>
      <c r="V18" s="1736"/>
      <c r="W18" s="1737"/>
      <c r="X18" s="1737"/>
      <c r="Y18" s="1737"/>
      <c r="Z18" s="1737"/>
      <c r="AA18" s="1737"/>
      <c r="AB18" s="1737"/>
      <c r="AC18" s="1737"/>
      <c r="AD18" s="1737"/>
      <c r="AE18" s="1737"/>
      <c r="AF18" s="1737"/>
      <c r="AG18" s="1737"/>
      <c r="AH18" s="1737"/>
      <c r="AI18" s="1737"/>
      <c r="AJ18" s="1737"/>
      <c r="AK18" s="1737"/>
      <c r="AL18" s="1737"/>
      <c r="AM18" s="1737"/>
      <c r="AN18" s="1737"/>
      <c r="AO18" s="1737"/>
      <c r="AP18" s="1737"/>
      <c r="AQ18" s="1737"/>
      <c r="AR18" s="1737"/>
      <c r="AS18" s="1737"/>
      <c r="AT18" s="1737"/>
      <c r="AU18" s="1737"/>
      <c r="AV18" s="1737"/>
      <c r="AW18" s="1737"/>
      <c r="AX18" s="1737"/>
      <c r="AY18" s="1737"/>
      <c r="AZ18" s="1737"/>
      <c r="BA18" s="1737"/>
      <c r="BB18" s="1737"/>
      <c r="BC18" s="1737"/>
      <c r="BD18" s="1737"/>
      <c r="BE18" s="1737"/>
      <c r="BF18" s="1737"/>
      <c r="BG18" s="1737"/>
      <c r="BH18" s="1737"/>
      <c r="BI18" s="1737"/>
      <c r="BJ18" s="1737"/>
      <c r="BK18" s="1737"/>
      <c r="BL18" s="1737"/>
      <c r="BM18" s="1737"/>
      <c r="BN18" s="1737"/>
      <c r="BO18" s="1737"/>
      <c r="BP18" s="1737"/>
      <c r="BQ18" s="1737"/>
      <c r="BR18" s="1737"/>
      <c r="BS18" s="1737"/>
      <c r="BT18" s="1737"/>
      <c r="BU18" s="1737"/>
      <c r="BV18" s="1737"/>
      <c r="BW18" s="1737"/>
      <c r="BX18" s="1737"/>
      <c r="BY18" s="1737"/>
      <c r="BZ18" s="1737"/>
      <c r="CA18" s="1737"/>
      <c r="CB18" s="1737"/>
      <c r="CC18" s="1737"/>
      <c r="CD18" s="1737"/>
      <c r="CE18" s="1737"/>
      <c r="CF18" s="1737"/>
      <c r="CG18" s="1737"/>
      <c r="CH18" s="1737"/>
      <c r="CI18" s="1737"/>
      <c r="CJ18" s="1737"/>
      <c r="CK18" s="1737"/>
      <c r="CL18" s="1737"/>
      <c r="CM18" s="1737"/>
      <c r="CN18" s="1737"/>
      <c r="CO18" s="1737"/>
      <c r="CP18" s="1737"/>
      <c r="CQ18" s="1737"/>
      <c r="CR18" s="1737"/>
      <c r="CS18" s="1737"/>
      <c r="CT18" s="1737"/>
      <c r="CU18" s="1737"/>
      <c r="CV18" s="1737"/>
      <c r="CW18" s="1737"/>
      <c r="CX18" s="1737"/>
      <c r="CY18" s="1737"/>
      <c r="CZ18" s="1737"/>
      <c r="DA18" s="1737"/>
      <c r="DB18" s="1737"/>
      <c r="DC18" s="1737"/>
      <c r="DD18" s="1737"/>
      <c r="DE18" s="1737"/>
      <c r="DF18" s="1737"/>
      <c r="DG18" s="1737"/>
      <c r="DH18" s="1737"/>
      <c r="DI18" s="1737"/>
      <c r="DJ18" s="1737"/>
      <c r="DK18" s="1737"/>
      <c r="DL18" s="1737"/>
      <c r="DM18" s="1737"/>
      <c r="DN18" s="1737"/>
      <c r="DO18" s="1737"/>
      <c r="DP18" s="1737"/>
      <c r="DQ18" s="1737"/>
      <c r="DR18" s="1737"/>
      <c r="DS18" s="1737"/>
      <c r="DT18" s="1737"/>
      <c r="DU18" s="1737"/>
      <c r="DV18" s="1737"/>
      <c r="DW18" s="1737"/>
      <c r="DX18" s="1737"/>
      <c r="DY18" s="1737"/>
      <c r="DZ18" s="1737"/>
      <c r="EA18" s="1737"/>
      <c r="EB18" s="1737"/>
      <c r="EC18" s="1737"/>
      <c r="ED18" s="1737"/>
      <c r="EE18" s="1737"/>
      <c r="EF18" s="1737"/>
      <c r="EG18" s="1737"/>
      <c r="EH18" s="1737"/>
      <c r="EI18" s="1737"/>
      <c r="EJ18" s="1737"/>
      <c r="EK18" s="1737"/>
      <c r="EL18" s="1737"/>
      <c r="EM18" s="1737"/>
      <c r="EN18" s="1737"/>
      <c r="EO18" s="1737"/>
      <c r="EP18" s="1737"/>
      <c r="EQ18" s="1737"/>
      <c r="ER18" s="1737"/>
      <c r="ES18" s="1737"/>
      <c r="ET18" s="1737"/>
      <c r="EU18" s="1737"/>
      <c r="EV18" s="1737"/>
      <c r="EW18" s="1737"/>
      <c r="EX18" s="1737"/>
      <c r="EY18" s="1737"/>
      <c r="EZ18" s="1737"/>
      <c r="FA18" s="1737"/>
      <c r="FB18" s="1737"/>
      <c r="FC18" s="1737"/>
      <c r="FD18" s="1737"/>
      <c r="FE18" s="1737"/>
      <c r="FF18" s="1737"/>
      <c r="FG18" s="1737"/>
      <c r="FH18" s="1737"/>
      <c r="FI18" s="1737"/>
      <c r="FJ18" s="1737"/>
      <c r="FK18" s="1737"/>
      <c r="FL18" s="1737"/>
      <c r="FM18" s="1737"/>
      <c r="FN18" s="1737"/>
      <c r="FO18" s="1737"/>
      <c r="FP18" s="1737"/>
      <c r="FQ18" s="1737"/>
      <c r="FR18" s="1737"/>
      <c r="FS18" s="1737"/>
      <c r="FT18" s="1737"/>
      <c r="FU18" s="1737"/>
      <c r="FV18" s="1737"/>
      <c r="FW18" s="1737"/>
      <c r="FX18" s="1737"/>
      <c r="FY18" s="1737"/>
      <c r="FZ18" s="1737"/>
      <c r="GA18" s="1737"/>
      <c r="GB18" s="1737"/>
      <c r="GC18" s="1737"/>
      <c r="GD18" s="1737"/>
      <c r="GE18" s="1737"/>
      <c r="GF18" s="1737"/>
      <c r="GG18" s="1737"/>
      <c r="GH18" s="1737"/>
      <c r="GI18" s="1737"/>
      <c r="GJ18" s="1737"/>
      <c r="GK18" s="1737"/>
      <c r="GL18" s="1737"/>
      <c r="GM18" s="1737"/>
      <c r="GN18" s="1737"/>
      <c r="GO18" s="1737"/>
      <c r="GP18" s="1737"/>
      <c r="GQ18" s="1737"/>
      <c r="GR18" s="1737"/>
      <c r="GS18" s="1737"/>
      <c r="GT18" s="1737"/>
      <c r="GU18" s="1737"/>
      <c r="GV18" s="1737"/>
      <c r="GW18" s="1737"/>
      <c r="GX18" s="1737"/>
      <c r="GY18" s="1737"/>
      <c r="GZ18" s="1737"/>
      <c r="HA18" s="1737"/>
      <c r="HB18" s="1737"/>
      <c r="HC18" s="1737"/>
      <c r="HD18" s="1737"/>
      <c r="HE18" s="1737"/>
      <c r="HF18" s="1737"/>
      <c r="HG18" s="1737"/>
      <c r="HH18" s="1737"/>
      <c r="HI18" s="1737"/>
      <c r="HJ18" s="1737"/>
      <c r="HK18" s="1737"/>
      <c r="HL18" s="1737"/>
      <c r="HM18" s="1737"/>
      <c r="HN18" s="1737"/>
      <c r="HO18" s="1737"/>
      <c r="HP18" s="1737"/>
      <c r="HQ18" s="1737"/>
      <c r="HR18" s="1737"/>
      <c r="HS18" s="1737"/>
      <c r="HT18" s="1737"/>
      <c r="HU18" s="1737"/>
      <c r="HV18" s="1737"/>
      <c r="HW18" s="1737"/>
      <c r="HX18" s="1737"/>
      <c r="HY18" s="1737"/>
      <c r="HZ18" s="1737"/>
      <c r="IA18" s="1737"/>
      <c r="IB18" s="1737"/>
      <c r="IC18" s="1737"/>
      <c r="ID18" s="1737"/>
      <c r="IE18" s="1737"/>
      <c r="IF18" s="1737"/>
      <c r="IG18" s="1737"/>
      <c r="IH18" s="1737"/>
      <c r="II18" s="1737"/>
      <c r="IJ18" s="1737"/>
      <c r="IK18" s="1737"/>
    </row>
    <row r="19" spans="1:245" ht="15.75">
      <c r="A19" s="294" t="s">
        <v>22</v>
      </c>
      <c r="B19" s="300">
        <f>ROUND(SUM(B18),1)</f>
        <v>5.2</v>
      </c>
      <c r="C19" s="301"/>
      <c r="D19" s="300">
        <f>ROUND(SUM(D18),1)</f>
        <v>5.2</v>
      </c>
      <c r="E19" s="301"/>
      <c r="F19" s="302">
        <f>ROUND(SUM(F18),1)</f>
        <v>0.2</v>
      </c>
      <c r="G19" s="301"/>
      <c r="H19" s="303">
        <f>ROUND(SUM(H18),1)</f>
        <v>0.2</v>
      </c>
      <c r="I19" s="304"/>
      <c r="J19" s="305">
        <f>ROUND(SUM(J18),1)</f>
        <v>5.4</v>
      </c>
      <c r="K19" s="301"/>
      <c r="L19" s="303">
        <f>ROUND(SUM(L18),1)</f>
        <v>5.4</v>
      </c>
      <c r="M19" s="304"/>
      <c r="N19" s="300">
        <f>ROUND(SUM(N18),1)</f>
        <v>5.9</v>
      </c>
      <c r="O19" s="301"/>
      <c r="P19" s="300">
        <f>ROUND(SUM(P18),1)</f>
        <v>5.9</v>
      </c>
      <c r="Q19" s="1284"/>
      <c r="R19" s="1738"/>
      <c r="S19" s="1765">
        <f>ROUND(SUM(S18),3)</f>
        <v>-0.5</v>
      </c>
      <c r="T19" s="1067"/>
      <c r="U19" s="1766">
        <f>ROUND(+S19/P19,3)</f>
        <v>-8.5000000000000006E-2</v>
      </c>
      <c r="V19" s="1455"/>
    </row>
    <row r="20" spans="1:245" ht="15.75">
      <c r="A20" s="294"/>
      <c r="B20" s="1544"/>
      <c r="C20" s="1544"/>
      <c r="D20" s="1544"/>
      <c r="E20" s="1544"/>
      <c r="F20" s="1544"/>
      <c r="G20" s="1544"/>
      <c r="H20" s="1739"/>
      <c r="I20" s="1740"/>
      <c r="J20" s="1741"/>
      <c r="K20" s="1544"/>
      <c r="L20" s="1742"/>
      <c r="M20" s="1740"/>
      <c r="N20" s="1740"/>
      <c r="O20" s="1544"/>
      <c r="P20" s="1740"/>
      <c r="R20" s="1727"/>
      <c r="S20" s="1764"/>
      <c r="T20" s="1724"/>
      <c r="U20" s="1455"/>
      <c r="V20" s="1455"/>
    </row>
    <row r="21" spans="1:245" ht="15.95" customHeight="1">
      <c r="A21" s="294" t="s">
        <v>23</v>
      </c>
      <c r="B21" s="1544"/>
      <c r="C21" s="1544"/>
      <c r="D21" s="1544"/>
      <c r="E21" s="1544"/>
      <c r="F21" s="1544"/>
      <c r="G21" s="1544"/>
      <c r="H21" s="1742"/>
      <c r="I21" s="1740"/>
      <c r="J21" s="1741"/>
      <c r="K21" s="1544"/>
      <c r="L21" s="1742"/>
      <c r="M21" s="1740"/>
      <c r="N21" s="1740"/>
      <c r="O21" s="1544"/>
      <c r="P21" s="1740"/>
      <c r="R21" s="1727"/>
      <c r="S21" s="1764"/>
      <c r="T21" s="1724"/>
      <c r="U21" s="1455"/>
      <c r="V21" s="1455"/>
    </row>
    <row r="22" spans="1:245" ht="15.95" customHeight="1">
      <c r="A22" s="1710" t="s">
        <v>36</v>
      </c>
      <c r="B22" s="1544"/>
      <c r="C22" s="1544"/>
      <c r="D22" s="1544"/>
      <c r="E22" s="1544"/>
      <c r="F22" s="1544"/>
      <c r="G22" s="1544"/>
      <c r="H22" s="1742"/>
      <c r="I22" s="1740"/>
      <c r="J22" s="1741"/>
      <c r="K22" s="1544"/>
      <c r="L22" s="1742"/>
      <c r="M22" s="1740"/>
      <c r="N22" s="1740"/>
      <c r="O22" s="1544"/>
      <c r="P22" s="1740"/>
      <c r="R22" s="1727"/>
      <c r="S22" s="1764"/>
      <c r="T22" s="1724"/>
      <c r="U22" s="1455"/>
      <c r="V22" s="1455"/>
    </row>
    <row r="23" spans="1:245" ht="15.95" customHeight="1">
      <c r="A23" s="1710" t="s">
        <v>69</v>
      </c>
      <c r="B23" s="1206">
        <f>+'EXHIBIT L'!B22</f>
        <v>5.2</v>
      </c>
      <c r="C23" s="1544"/>
      <c r="D23" s="1206">
        <f>+'EXHIBIT L'!AA22</f>
        <v>5.2</v>
      </c>
      <c r="E23" s="1544"/>
      <c r="F23" s="1743">
        <f>+'EXHIBIT M'!B22</f>
        <v>0</v>
      </c>
      <c r="G23" s="1544"/>
      <c r="H23" s="1744">
        <f>+'EXHIBIT M'!AA22</f>
        <v>0</v>
      </c>
      <c r="I23" s="1740"/>
      <c r="J23" s="1745">
        <f>SUM(B23)+SUM(F23)</f>
        <v>5.2</v>
      </c>
      <c r="K23" s="1544"/>
      <c r="L23" s="1746">
        <f>SUM(D23)+SUM(H23)</f>
        <v>5.2</v>
      </c>
      <c r="M23" s="1740"/>
      <c r="N23" s="1747">
        <v>3.6</v>
      </c>
      <c r="O23" s="1544"/>
      <c r="P23" s="1747">
        <f>'EXHIBIT L'!AD22+'EXHIBIT M'!AD22</f>
        <v>3.6</v>
      </c>
      <c r="R23" s="1727"/>
      <c r="S23" s="1764">
        <f>ROUND(SUM(L23-P23),1)</f>
        <v>1.6</v>
      </c>
      <c r="T23" s="1724"/>
      <c r="U23" s="2250">
        <f>ROUND(IF(S23=0,0,S23/ABS(P23)),3)</f>
        <v>0.44400000000000001</v>
      </c>
      <c r="V23" s="1455"/>
    </row>
    <row r="24" spans="1:245" ht="15.95" customHeight="1">
      <c r="A24" s="1710" t="s">
        <v>70</v>
      </c>
      <c r="B24" s="1206">
        <f>+'EXHIBIT L'!B23</f>
        <v>0.8</v>
      </c>
      <c r="C24" s="1544"/>
      <c r="D24" s="1747">
        <f>+'EXHIBIT L'!AA23</f>
        <v>0.8</v>
      </c>
      <c r="E24" s="1544"/>
      <c r="F24" s="1743">
        <f>+'EXHIBIT M'!B23</f>
        <v>0</v>
      </c>
      <c r="G24" s="1544"/>
      <c r="H24" s="1744">
        <f>+'EXHIBIT M'!AA23</f>
        <v>0</v>
      </c>
      <c r="I24" s="1740"/>
      <c r="J24" s="1745">
        <f>SUM(B24)+SUM(F24)</f>
        <v>0.8</v>
      </c>
      <c r="K24" s="1544"/>
      <c r="L24" s="1746">
        <f>SUM(D24)+SUM(H24)</f>
        <v>0.8</v>
      </c>
      <c r="M24" s="1740"/>
      <c r="N24" s="1747">
        <v>0.4</v>
      </c>
      <c r="O24" s="1740"/>
      <c r="P24" s="1747">
        <f>'EXHIBIT L'!AD23+'EXHIBIT M'!AD23</f>
        <v>0.4</v>
      </c>
      <c r="R24" s="1727"/>
      <c r="S24" s="1764">
        <f>ROUND(SUM(L24-P24),1)</f>
        <v>0.4</v>
      </c>
      <c r="T24" s="1724"/>
      <c r="U24" s="2250">
        <f>ROUND(IF(S24=0,0,S24/ABS(P24)),3)</f>
        <v>1</v>
      </c>
      <c r="V24" s="1455"/>
    </row>
    <row r="25" spans="1:245" ht="15.95" customHeight="1">
      <c r="A25" s="1710" t="s">
        <v>71</v>
      </c>
      <c r="B25" s="1206">
        <f>+'EXHIBIT L'!B24</f>
        <v>0</v>
      </c>
      <c r="C25" s="1544"/>
      <c r="D25" s="1748">
        <f>+'EXHIBIT L'!AA24</f>
        <v>0</v>
      </c>
      <c r="E25" s="1544"/>
      <c r="F25" s="1743">
        <f>+'EXHIBIT M'!B24</f>
        <v>0</v>
      </c>
      <c r="G25" s="1544"/>
      <c r="H25" s="1749">
        <f>+'EXHIBIT M'!AA24</f>
        <v>0</v>
      </c>
      <c r="I25" s="1740"/>
      <c r="J25" s="1745">
        <f>SUM(B25)+SUM(F25)</f>
        <v>0</v>
      </c>
      <c r="K25" s="1544"/>
      <c r="L25" s="1750">
        <f>SUM(D25)+SUM(H25)</f>
        <v>0</v>
      </c>
      <c r="M25" s="1740"/>
      <c r="N25" s="1747">
        <v>0</v>
      </c>
      <c r="O25" s="2796"/>
      <c r="P25" s="1747">
        <f>'EXHIBIT L'!AD24+'EXHIBIT M'!AD24</f>
        <v>0</v>
      </c>
      <c r="R25" s="1727"/>
      <c r="S25" s="1764">
        <f>ROUND(SUM(L25-P25),1)</f>
        <v>0</v>
      </c>
      <c r="T25" s="1724"/>
      <c r="U25" s="2291">
        <f>ROUND(IF(P25=0,0,S25/ABS(P25)),3)</f>
        <v>0</v>
      </c>
      <c r="V25" s="1455"/>
    </row>
    <row r="26" spans="1:245" ht="15.75">
      <c r="A26" s="294" t="s">
        <v>59</v>
      </c>
      <c r="B26" s="300">
        <f>ROUND(SUM(B23:B25),1)</f>
        <v>6</v>
      </c>
      <c r="C26" s="301"/>
      <c r="D26" s="300">
        <f>ROUND(SUM(D23:D25),1)</f>
        <v>6</v>
      </c>
      <c r="E26" s="301"/>
      <c r="F26" s="300">
        <f>ROUND(SUM(F23:F25),1)</f>
        <v>0</v>
      </c>
      <c r="G26" s="301"/>
      <c r="H26" s="303">
        <f>ROUND(SUM(H23:H25),1)</f>
        <v>0</v>
      </c>
      <c r="I26" s="304"/>
      <c r="J26" s="305">
        <f>ROUND(SUM(J23:J25),1)</f>
        <v>6</v>
      </c>
      <c r="K26" s="301"/>
      <c r="L26" s="303">
        <f>ROUND(SUM(L23:L25),1)</f>
        <v>6</v>
      </c>
      <c r="M26" s="304"/>
      <c r="N26" s="300">
        <f>ROUND(SUM(N23:N25),1)</f>
        <v>4</v>
      </c>
      <c r="O26" s="301"/>
      <c r="P26" s="300">
        <f>ROUND(SUM(P23:P25),1)</f>
        <v>4</v>
      </c>
      <c r="Q26" s="1284"/>
      <c r="R26" s="1705"/>
      <c r="S26" s="1765">
        <f>ROUND(SUM(S23:S25),3)</f>
        <v>2</v>
      </c>
      <c r="T26" s="1067"/>
      <c r="U26" s="2321">
        <f>ROUND(S26/P26,3)</f>
        <v>0.5</v>
      </c>
      <c r="V26" s="1455"/>
    </row>
    <row r="27" spans="1:245" ht="15.75">
      <c r="A27" s="294"/>
      <c r="B27" s="1544"/>
      <c r="C27" s="1544"/>
      <c r="D27" s="1544"/>
      <c r="E27" s="1544"/>
      <c r="F27" s="1544"/>
      <c r="G27" s="1544"/>
      <c r="H27" s="1742"/>
      <c r="I27" s="1740"/>
      <c r="J27" s="1741"/>
      <c r="K27" s="1544"/>
      <c r="L27" s="1742"/>
      <c r="M27" s="1740"/>
      <c r="N27" s="1740"/>
      <c r="O27" s="1544"/>
      <c r="P27" s="1740"/>
      <c r="R27" s="1727"/>
      <c r="S27" s="1764"/>
      <c r="T27" s="1724"/>
      <c r="U27" s="1455"/>
      <c r="V27" s="1455"/>
    </row>
    <row r="28" spans="1:245" ht="15.95" customHeight="1">
      <c r="A28" s="294" t="s">
        <v>44</v>
      </c>
      <c r="B28" s="1544"/>
      <c r="C28" s="1544"/>
      <c r="D28" s="1544"/>
      <c r="E28" s="1544"/>
      <c r="F28" s="1544"/>
      <c r="G28" s="1544"/>
      <c r="H28" s="1742"/>
      <c r="I28" s="1740"/>
      <c r="J28" s="1741"/>
      <c r="K28" s="1544"/>
      <c r="L28" s="1742"/>
      <c r="M28" s="1740"/>
      <c r="N28" s="1740"/>
      <c r="O28" s="1544"/>
      <c r="P28" s="1740"/>
      <c r="R28" s="1727"/>
      <c r="S28" s="1764"/>
      <c r="T28" s="1724"/>
      <c r="U28" s="1455"/>
      <c r="V28" s="1455"/>
    </row>
    <row r="29" spans="1:245" ht="15.75">
      <c r="A29" s="294" t="s">
        <v>73</v>
      </c>
      <c r="B29" s="309">
        <f>ROUND(SUM(B19-B26),1)</f>
        <v>-0.8</v>
      </c>
      <c r="C29" s="301"/>
      <c r="D29" s="309">
        <f>ROUND(SUM(D19-D26),1)</f>
        <v>-0.8</v>
      </c>
      <c r="E29" s="301"/>
      <c r="F29" s="309">
        <f>ROUND(SUM(F19-F26),1)</f>
        <v>0.2</v>
      </c>
      <c r="G29" s="301"/>
      <c r="H29" s="310">
        <f>ROUND(SUM(H19-H26),1)</f>
        <v>0.2</v>
      </c>
      <c r="I29" s="304"/>
      <c r="J29" s="311">
        <f>ROUND(SUM(J19-J26),1)</f>
        <v>-0.6</v>
      </c>
      <c r="K29" s="304"/>
      <c r="L29" s="310">
        <f>ROUND(SUM(L19-L26),1)</f>
        <v>-0.6</v>
      </c>
      <c r="M29" s="304"/>
      <c r="N29" s="309">
        <f>ROUND(SUM(N19-N26),1)</f>
        <v>1.9</v>
      </c>
      <c r="O29" s="304"/>
      <c r="P29" s="309">
        <f>ROUND(SUM(P19-P26),1)</f>
        <v>1.9</v>
      </c>
      <c r="Q29" s="1284"/>
      <c r="R29" s="1727"/>
      <c r="S29" s="2590">
        <f>ROUND(SUM(L29-P29),1)</f>
        <v>-2.5</v>
      </c>
      <c r="T29" s="1724"/>
      <c r="U29" s="3477">
        <f>ROUND(IF(P29=0,1,S29/ABS(P29)),3)</f>
        <v>-1.3160000000000001</v>
      </c>
      <c r="V29" s="1455"/>
    </row>
    <row r="30" spans="1:245">
      <c r="A30" s="1710"/>
      <c r="B30" s="1544"/>
      <c r="C30" s="1544"/>
      <c r="D30" s="1544"/>
      <c r="E30" s="1544"/>
      <c r="F30" s="1544"/>
      <c r="G30" s="1544"/>
      <c r="H30" s="1742"/>
      <c r="I30" s="1740"/>
      <c r="J30" s="1741"/>
      <c r="K30" s="1544"/>
      <c r="L30" s="1742"/>
      <c r="M30" s="1740"/>
      <c r="N30" s="1740"/>
      <c r="O30" s="1544"/>
      <c r="P30" s="1740"/>
      <c r="R30" s="1727"/>
      <c r="S30" s="1764"/>
      <c r="T30" s="1724"/>
      <c r="U30" s="1455"/>
      <c r="V30" s="1455"/>
    </row>
    <row r="31" spans="1:245" ht="15.95" customHeight="1">
      <c r="A31" s="294" t="s">
        <v>46</v>
      </c>
      <c r="B31" s="1544"/>
      <c r="C31" s="1544"/>
      <c r="D31" s="1544"/>
      <c r="E31" s="1544"/>
      <c r="F31" s="1544"/>
      <c r="G31" s="1544"/>
      <c r="H31" s="1742"/>
      <c r="I31" s="1740"/>
      <c r="J31" s="1741"/>
      <c r="K31" s="1544"/>
      <c r="L31" s="1742"/>
      <c r="M31" s="1740"/>
      <c r="N31" s="1740"/>
      <c r="O31" s="1544"/>
      <c r="P31" s="1740"/>
      <c r="R31" s="1727"/>
      <c r="S31" s="1764"/>
      <c r="T31" s="1724"/>
      <c r="U31" s="1455"/>
      <c r="V31" s="1455"/>
    </row>
    <row r="32" spans="1:245" ht="15.95" customHeight="1">
      <c r="A32" s="1710" t="s">
        <v>48</v>
      </c>
      <c r="B32" s="1743">
        <f>+'EXHIBIT L'!B31</f>
        <v>0</v>
      </c>
      <c r="C32" s="1544"/>
      <c r="D32" s="1743">
        <f>+'EXHIBIT L'!AA31</f>
        <v>0</v>
      </c>
      <c r="E32" s="1544"/>
      <c r="F32" s="1743">
        <f>+'EXHIBIT M'!B31</f>
        <v>0</v>
      </c>
      <c r="G32" s="1206"/>
      <c r="H32" s="1751">
        <f>+'EXHIBIT M'!AA31</f>
        <v>0</v>
      </c>
      <c r="I32" s="1740"/>
      <c r="J32" s="1752">
        <f>SUM(B32)+SUM(F32)</f>
        <v>0</v>
      </c>
      <c r="K32" s="1544"/>
      <c r="L32" s="1744">
        <f>SUM(D32)+SUM(H32)</f>
        <v>0</v>
      </c>
      <c r="M32" s="1740"/>
      <c r="N32" s="1747">
        <v>0</v>
      </c>
      <c r="O32" s="1740"/>
      <c r="P32" s="1748">
        <f>'EXHIBIT L'!AD31+'EXHIBIT M'!AD31</f>
        <v>0</v>
      </c>
      <c r="R32" s="1753"/>
      <c r="S32" s="1764">
        <f>ROUND(SUM(L32-P32),1)</f>
        <v>0</v>
      </c>
      <c r="T32" s="1129"/>
      <c r="U32" s="2250">
        <f>ROUND(IF(S32=0,0,S32/ABS(P32)),3)</f>
        <v>0</v>
      </c>
      <c r="V32" s="1455"/>
    </row>
    <row r="33" spans="1:245" ht="15.95" customHeight="1">
      <c r="A33" s="1710" t="s">
        <v>74</v>
      </c>
      <c r="B33" s="1743">
        <f>+'EXHIBIT L'!NP32</f>
        <v>0</v>
      </c>
      <c r="C33" s="1544"/>
      <c r="D33" s="1754">
        <f>+'EXHIBIT L'!AA32</f>
        <v>0</v>
      </c>
      <c r="E33" s="1544"/>
      <c r="F33" s="1743">
        <f>+'EXHIBIT M'!B32</f>
        <v>0</v>
      </c>
      <c r="G33" s="1544"/>
      <c r="H33" s="1751">
        <f>+'EXHIBIT M'!AA32</f>
        <v>0</v>
      </c>
      <c r="I33" s="1740"/>
      <c r="J33" s="1752">
        <f>SUM(B33)+SUM(F33)</f>
        <v>0</v>
      </c>
      <c r="K33" s="1544"/>
      <c r="L33" s="1755">
        <f>SUM(D33)+SUM(H33)</f>
        <v>0</v>
      </c>
      <c r="M33" s="1740"/>
      <c r="N33" s="1747">
        <v>0</v>
      </c>
      <c r="O33" s="2796"/>
      <c r="P33" s="1748">
        <f>'EXHIBIT L'!AD32+'EXHIBIT M'!AD32</f>
        <v>0</v>
      </c>
      <c r="R33" s="1756"/>
      <c r="S33" s="1764">
        <f>ROUND(SUM(L33-P33),1)</f>
        <v>0</v>
      </c>
      <c r="T33" s="1129"/>
      <c r="U33" s="2250">
        <f>ROUND(IF(S33=0,0,S33/ABS(P33)),3)</f>
        <v>0</v>
      </c>
      <c r="V33" s="1455"/>
    </row>
    <row r="34" spans="1:245" ht="15.75">
      <c r="A34" s="294" t="s">
        <v>50</v>
      </c>
      <c r="B34" s="312">
        <f>ROUND(SUM(B32:B33),1)</f>
        <v>0</v>
      </c>
      <c r="C34" s="301"/>
      <c r="D34" s="312">
        <f>ROUND(SUM(D32:D33),1)</f>
        <v>0</v>
      </c>
      <c r="E34" s="301"/>
      <c r="F34" s="312">
        <f>ROUND(SUM(F32:F33),1)</f>
        <v>0</v>
      </c>
      <c r="G34" s="301"/>
      <c r="H34" s="313">
        <f>ROUND(SUM(H32:H33),1)</f>
        <v>0</v>
      </c>
      <c r="I34" s="304"/>
      <c r="J34" s="314">
        <f>ROUND(SUM(J32:J33),1)</f>
        <v>0</v>
      </c>
      <c r="K34" s="301"/>
      <c r="L34" s="303">
        <f>ROUND(SUM(L32:L33),1)</f>
        <v>0</v>
      </c>
      <c r="M34" s="304"/>
      <c r="N34" s="300">
        <f>ROUND(SUM(N32:N33),1)</f>
        <v>0</v>
      </c>
      <c r="O34" s="301"/>
      <c r="P34" s="300">
        <f>ROUND(SUM(P32:P33),1)</f>
        <v>0</v>
      </c>
      <c r="R34" s="1757"/>
      <c r="S34" s="272">
        <f>ROUND(SUM(S32-S33),3)</f>
        <v>0</v>
      </c>
      <c r="T34" s="2272"/>
      <c r="U34" s="1809">
        <f>ROUND(IF(P34=0,0,S34/ABS(P34)),3)</f>
        <v>0</v>
      </c>
      <c r="V34" s="1455"/>
    </row>
    <row r="35" spans="1:245" ht="15.75">
      <c r="A35" s="294"/>
      <c r="B35" s="1758"/>
      <c r="C35" s="1544"/>
      <c r="D35" s="1758"/>
      <c r="E35" s="1544"/>
      <c r="F35" s="1740"/>
      <c r="G35" s="1544"/>
      <c r="H35" s="1742"/>
      <c r="I35" s="1740"/>
      <c r="J35" s="1741"/>
      <c r="K35" s="1544"/>
      <c r="L35" s="1759"/>
      <c r="M35" s="1740"/>
      <c r="N35" s="1740"/>
      <c r="O35" s="1544"/>
      <c r="P35" s="1740"/>
      <c r="R35" s="1727"/>
      <c r="S35" s="1764"/>
      <c r="T35" s="1724"/>
      <c r="U35" s="1455"/>
      <c r="V35" s="1455"/>
    </row>
    <row r="36" spans="1:245" ht="15.75" customHeight="1">
      <c r="A36" s="294" t="s">
        <v>44</v>
      </c>
      <c r="B36" s="1544"/>
      <c r="C36" s="1544"/>
      <c r="D36" s="1544"/>
      <c r="E36" s="1544"/>
      <c r="F36" s="1544"/>
      <c r="G36" s="1544"/>
      <c r="H36" s="1742"/>
      <c r="I36" s="1740"/>
      <c r="J36" s="1741"/>
      <c r="K36" s="1544"/>
      <c r="L36" s="1742"/>
      <c r="M36" s="1740"/>
      <c r="N36" s="1740"/>
      <c r="O36" s="1544"/>
      <c r="P36" s="1740"/>
      <c r="R36" s="1727"/>
      <c r="S36" s="1764"/>
      <c r="T36" s="1724"/>
      <c r="U36" s="1455"/>
      <c r="V36" s="1455"/>
    </row>
    <row r="37" spans="1:245" ht="15.75" customHeight="1">
      <c r="A37" s="294" t="s">
        <v>75</v>
      </c>
      <c r="B37" s="1544"/>
      <c r="C37" s="1544"/>
      <c r="D37" s="1544"/>
      <c r="E37" s="1544"/>
      <c r="F37" s="1544"/>
      <c r="G37" s="1544"/>
      <c r="H37" s="1742"/>
      <c r="I37" s="1740"/>
      <c r="J37" s="1741"/>
      <c r="K37" s="1544"/>
      <c r="L37" s="1742"/>
      <c r="M37" s="1740"/>
      <c r="N37" s="1740"/>
      <c r="O37" s="1544"/>
      <c r="P37" s="1740"/>
      <c r="R37" s="1727"/>
      <c r="S37" s="1764"/>
      <c r="T37" s="1724"/>
      <c r="U37" s="1455"/>
      <c r="V37" s="1455"/>
    </row>
    <row r="38" spans="1:245" ht="15.75" customHeight="1">
      <c r="A38" s="294" t="s">
        <v>76</v>
      </c>
      <c r="B38" s="1544"/>
      <c r="C38" s="1544"/>
      <c r="D38" s="1544"/>
      <c r="E38" s="1544"/>
      <c r="F38" s="1760"/>
      <c r="G38" s="1544"/>
      <c r="H38" s="1742"/>
      <c r="I38" s="1740"/>
      <c r="J38" s="1741"/>
      <c r="K38" s="1544"/>
      <c r="L38" s="1742"/>
      <c r="M38" s="1740"/>
      <c r="N38" s="1740"/>
      <c r="O38" s="1544"/>
      <c r="P38" s="1740"/>
      <c r="R38" s="1727"/>
      <c r="S38" s="1764"/>
      <c r="T38" s="1724"/>
      <c r="U38" s="1455"/>
      <c r="V38" s="1455"/>
    </row>
    <row r="39" spans="1:245" ht="15.75" customHeight="1">
      <c r="A39" s="294" t="s">
        <v>77</v>
      </c>
      <c r="B39" s="317">
        <f>ROUND(SUM(B29+B34),1)</f>
        <v>-0.8</v>
      </c>
      <c r="C39" s="301"/>
      <c r="D39" s="317">
        <f>ROUND(SUM(D29+D34),1)</f>
        <v>-0.8</v>
      </c>
      <c r="E39" s="301"/>
      <c r="F39" s="317">
        <f>ROUND(SUM(F29+F34),1)</f>
        <v>0.2</v>
      </c>
      <c r="G39" s="301"/>
      <c r="H39" s="318">
        <f>ROUND(SUM(H29+H34),1)</f>
        <v>0.2</v>
      </c>
      <c r="I39" s="304"/>
      <c r="J39" s="319">
        <f>ROUND(SUM(J29+J34),1)</f>
        <v>-0.6</v>
      </c>
      <c r="K39" s="301"/>
      <c r="L39" s="318">
        <f>ROUND(SUM(L29+L34),1)</f>
        <v>-0.6</v>
      </c>
      <c r="M39" s="304"/>
      <c r="N39" s="317">
        <f>ROUND(SUM(N29+N34),1)</f>
        <v>1.9</v>
      </c>
      <c r="O39" s="304"/>
      <c r="P39" s="317">
        <f>ROUND(SUM(P29+P34),1)</f>
        <v>1.9</v>
      </c>
      <c r="Q39" s="1284"/>
      <c r="R39" s="1727"/>
      <c r="S39" s="2349">
        <f>ROUND(SUM(L39-P39),1)</f>
        <v>-2.5</v>
      </c>
      <c r="T39" s="1724"/>
      <c r="U39" s="3478">
        <f>ROUND(IF(P39=0,1,S39/ABS(P39)),3)</f>
        <v>-1.3160000000000001</v>
      </c>
      <c r="V39" s="1455"/>
    </row>
    <row r="40" spans="1:245" ht="15.75">
      <c r="A40" s="294"/>
      <c r="B40" s="1544"/>
      <c r="C40" s="1544"/>
      <c r="D40" s="1544"/>
      <c r="E40" s="1544"/>
      <c r="F40" s="1544"/>
      <c r="G40" s="1544"/>
      <c r="H40" s="1742"/>
      <c r="I40" s="1740"/>
      <c r="J40" s="1741"/>
      <c r="K40" s="1544"/>
      <c r="L40" s="1742"/>
      <c r="M40" s="1740"/>
      <c r="N40" s="1740"/>
      <c r="O40" s="1544"/>
      <c r="P40" s="1740"/>
      <c r="R40" s="1727"/>
      <c r="S40" s="1583"/>
      <c r="T40" s="2261"/>
      <c r="U40" s="1583"/>
      <c r="V40" s="1455"/>
    </row>
    <row r="41" spans="1:245" s="1284" customFormat="1" ht="15.75">
      <c r="A41" s="294" t="s">
        <v>53</v>
      </c>
      <c r="B41" s="320">
        <f>+'EXHIBIT L'!B13</f>
        <v>-2</v>
      </c>
      <c r="C41" s="301"/>
      <c r="D41" s="320">
        <f>+'EXHIBIT L'!AA13</f>
        <v>-2</v>
      </c>
      <c r="E41" s="301"/>
      <c r="F41" s="320">
        <f>+'EXHIBIT M'!B13</f>
        <v>11.9</v>
      </c>
      <c r="G41" s="301"/>
      <c r="H41" s="321">
        <f>+'EXHIBIT M'!AA13</f>
        <v>11.9</v>
      </c>
      <c r="I41" s="304"/>
      <c r="J41" s="322">
        <f>ROUND(SUM(B41)+SUM(F41),1)</f>
        <v>9.9</v>
      </c>
      <c r="K41" s="301"/>
      <c r="L41" s="318">
        <f>ROUND(SUM(D41+H41),1)</f>
        <v>9.9</v>
      </c>
      <c r="M41" s="304"/>
      <c r="N41" s="309">
        <v>8.7999999999999989</v>
      </c>
      <c r="O41" s="301"/>
      <c r="P41" s="309">
        <f>'EXHIBIT L'!AD13+'EXHIBIT M'!AD13</f>
        <v>8.7999999999999989</v>
      </c>
      <c r="R41" s="1706"/>
      <c r="S41" s="278">
        <f>ROUND(SUM(+L41-P41),1)</f>
        <v>1.1000000000000001</v>
      </c>
      <c r="T41" s="280"/>
      <c r="U41" s="2251">
        <f>ROUND(IF(S41=0,0,S41/ABS(P41)),3)</f>
        <v>0.125</v>
      </c>
      <c r="V41" s="1761"/>
    </row>
    <row r="42" spans="1:245" ht="16.5" thickBot="1">
      <c r="A42" s="294" t="s">
        <v>79</v>
      </c>
      <c r="B42" s="323">
        <f>ROUND(SUM(B41)+SUM(B39),1)</f>
        <v>-2.8</v>
      </c>
      <c r="C42" s="324"/>
      <c r="D42" s="323">
        <f>ROUND(SUM(D41)+SUM(D39),1)</f>
        <v>-2.8</v>
      </c>
      <c r="E42" s="324"/>
      <c r="F42" s="325">
        <f>ROUND(SUM(F41)+SUM(F39),1)</f>
        <v>12.1</v>
      </c>
      <c r="G42" s="326"/>
      <c r="H42" s="1368">
        <f>ROUND(SUM(H41)+SUM(H39),1)</f>
        <v>12.1</v>
      </c>
      <c r="I42" s="1369"/>
      <c r="J42" s="1368">
        <f>ROUND(SUM(J41)+SUM(J39),1)</f>
        <v>9.3000000000000007</v>
      </c>
      <c r="K42" s="328"/>
      <c r="L42" s="327">
        <f>ROUND(SUM(L41)+SUM(L39),1)</f>
        <v>9.3000000000000007</v>
      </c>
      <c r="M42" s="328"/>
      <c r="N42" s="1368">
        <f>ROUND(SUM(N41)+SUM(N39),1)</f>
        <v>10.7</v>
      </c>
      <c r="O42" s="328"/>
      <c r="P42" s="1368">
        <f>ROUND(SUM(P41)+SUM(P39),1)</f>
        <v>10.7</v>
      </c>
      <c r="Q42" s="469"/>
      <c r="R42" s="1734"/>
      <c r="S42" s="2234">
        <f>ROUND(SUM(S39+S41),3)</f>
        <v>-1.4</v>
      </c>
      <c r="T42" s="2011"/>
      <c r="U42" s="2322">
        <f>ROUND(S42/P42,3)</f>
        <v>-0.13100000000000001</v>
      </c>
      <c r="V42" s="1455"/>
    </row>
    <row r="43" spans="1:245" ht="15.75" thickTop="1">
      <c r="A43" s="1710"/>
      <c r="B43" s="1762"/>
      <c r="C43" s="1733"/>
      <c r="D43" s="1762"/>
      <c r="E43" s="1733"/>
      <c r="F43" s="1762"/>
      <c r="G43" s="1733"/>
      <c r="H43" s="1762"/>
      <c r="I43" s="1735"/>
      <c r="J43" s="1762"/>
      <c r="K43" s="1733"/>
      <c r="L43" s="1762"/>
      <c r="M43" s="1733"/>
      <c r="N43" s="1762"/>
      <c r="O43" s="1733"/>
      <c r="P43" s="1762"/>
      <c r="Q43" s="1733"/>
      <c r="R43" s="1763"/>
      <c r="S43" s="1736"/>
      <c r="T43" s="1763"/>
      <c r="U43" s="1736"/>
      <c r="V43" s="1736"/>
      <c r="W43" s="1737"/>
      <c r="X43" s="1737"/>
      <c r="Y43" s="1737"/>
      <c r="Z43" s="1737"/>
      <c r="AA43" s="1737"/>
      <c r="AB43" s="1737"/>
      <c r="AC43" s="1737"/>
      <c r="AD43" s="1737"/>
      <c r="AE43" s="1737"/>
      <c r="AF43" s="1737"/>
      <c r="AG43" s="1737"/>
      <c r="AH43" s="1737"/>
      <c r="AI43" s="1737"/>
      <c r="AJ43" s="1737"/>
      <c r="AK43" s="1737"/>
      <c r="AL43" s="1737"/>
      <c r="AM43" s="1737"/>
      <c r="AN43" s="1737"/>
      <c r="AO43" s="1737"/>
      <c r="AP43" s="1737"/>
      <c r="AQ43" s="1737"/>
      <c r="AR43" s="1737"/>
      <c r="AS43" s="1737"/>
      <c r="AT43" s="1737"/>
      <c r="AU43" s="1737"/>
      <c r="AV43" s="1737"/>
      <c r="AW43" s="1737"/>
      <c r="AX43" s="1737"/>
      <c r="AY43" s="1737"/>
      <c r="AZ43" s="1737"/>
      <c r="BA43" s="1737"/>
      <c r="BB43" s="1737"/>
      <c r="BC43" s="1737"/>
      <c r="BD43" s="1737"/>
      <c r="BE43" s="1737"/>
      <c r="BF43" s="1737"/>
      <c r="BG43" s="1737"/>
      <c r="BH43" s="1737"/>
      <c r="BI43" s="1737"/>
      <c r="BJ43" s="1737"/>
      <c r="BK43" s="1737"/>
      <c r="BL43" s="1737"/>
      <c r="BM43" s="1737"/>
      <c r="BN43" s="1737"/>
      <c r="BO43" s="1737"/>
      <c r="BP43" s="1737"/>
      <c r="BQ43" s="1737"/>
      <c r="BR43" s="1737"/>
      <c r="BS43" s="1737"/>
      <c r="BT43" s="1737"/>
      <c r="BU43" s="1737"/>
      <c r="BV43" s="1737"/>
      <c r="BW43" s="1737"/>
      <c r="BX43" s="1737"/>
      <c r="BY43" s="1737"/>
      <c r="BZ43" s="1737"/>
      <c r="CA43" s="1737"/>
      <c r="CB43" s="1737"/>
      <c r="CC43" s="1737"/>
      <c r="CD43" s="1737"/>
      <c r="CE43" s="1737"/>
      <c r="CF43" s="1737"/>
      <c r="CG43" s="1737"/>
      <c r="CH43" s="1737"/>
      <c r="CI43" s="1737"/>
      <c r="CJ43" s="1737"/>
      <c r="CK43" s="1737"/>
      <c r="CL43" s="1737"/>
      <c r="CM43" s="1737"/>
      <c r="CN43" s="1737"/>
      <c r="CO43" s="1737"/>
      <c r="CP43" s="1737"/>
      <c r="CQ43" s="1737"/>
      <c r="CR43" s="1737"/>
      <c r="CS43" s="1737"/>
      <c r="CT43" s="1737"/>
      <c r="CU43" s="1737"/>
      <c r="CV43" s="1737"/>
      <c r="CW43" s="1737"/>
      <c r="CX43" s="1737"/>
      <c r="CY43" s="1737"/>
      <c r="CZ43" s="1737"/>
      <c r="DA43" s="1737"/>
      <c r="DB43" s="1737"/>
      <c r="DC43" s="1737"/>
      <c r="DD43" s="1737"/>
      <c r="DE43" s="1737"/>
      <c r="DF43" s="1737"/>
      <c r="DG43" s="1737"/>
      <c r="DH43" s="1737"/>
      <c r="DI43" s="1737"/>
      <c r="DJ43" s="1737"/>
      <c r="DK43" s="1737"/>
      <c r="DL43" s="1737"/>
      <c r="DM43" s="1737"/>
      <c r="DN43" s="1737"/>
      <c r="DO43" s="1737"/>
      <c r="DP43" s="1737"/>
      <c r="DQ43" s="1737"/>
      <c r="DR43" s="1737"/>
      <c r="DS43" s="1737"/>
      <c r="DT43" s="1737"/>
      <c r="DU43" s="1737"/>
      <c r="DV43" s="1737"/>
      <c r="DW43" s="1737"/>
      <c r="DX43" s="1737"/>
      <c r="DY43" s="1737"/>
      <c r="DZ43" s="1737"/>
      <c r="EA43" s="1737"/>
      <c r="EB43" s="1737"/>
      <c r="EC43" s="1737"/>
      <c r="ED43" s="1737"/>
      <c r="EE43" s="1737"/>
      <c r="EF43" s="1737"/>
      <c r="EG43" s="1737"/>
      <c r="EH43" s="1737"/>
      <c r="EI43" s="1737"/>
      <c r="EJ43" s="1737"/>
      <c r="EK43" s="1737"/>
      <c r="EL43" s="1737"/>
      <c r="EM43" s="1737"/>
      <c r="EN43" s="1737"/>
      <c r="EO43" s="1737"/>
      <c r="EP43" s="1737"/>
      <c r="EQ43" s="1737"/>
      <c r="ER43" s="1737"/>
      <c r="ES43" s="1737"/>
      <c r="ET43" s="1737"/>
      <c r="EU43" s="1737"/>
      <c r="EV43" s="1737"/>
      <c r="EW43" s="1737"/>
      <c r="EX43" s="1737"/>
      <c r="EY43" s="1737"/>
      <c r="EZ43" s="1737"/>
      <c r="FA43" s="1737"/>
      <c r="FB43" s="1737"/>
      <c r="FC43" s="1737"/>
      <c r="FD43" s="1737"/>
      <c r="FE43" s="1737"/>
      <c r="FF43" s="1737"/>
      <c r="FG43" s="1737"/>
      <c r="FH43" s="1737"/>
      <c r="FI43" s="1737"/>
      <c r="FJ43" s="1737"/>
      <c r="FK43" s="1737"/>
      <c r="FL43" s="1737"/>
      <c r="FM43" s="1737"/>
      <c r="FN43" s="1737"/>
      <c r="FO43" s="1737"/>
      <c r="FP43" s="1737"/>
      <c r="FQ43" s="1737"/>
      <c r="FR43" s="1737"/>
      <c r="FS43" s="1737"/>
      <c r="FT43" s="1737"/>
      <c r="FU43" s="1737"/>
      <c r="FV43" s="1737"/>
      <c r="FW43" s="1737"/>
      <c r="FX43" s="1737"/>
      <c r="FY43" s="1737"/>
      <c r="FZ43" s="1737"/>
      <c r="GA43" s="1737"/>
      <c r="GB43" s="1737"/>
      <c r="GC43" s="1737"/>
      <c r="GD43" s="1737"/>
      <c r="GE43" s="1737"/>
      <c r="GF43" s="1737"/>
      <c r="GG43" s="1737"/>
      <c r="GH43" s="1737"/>
      <c r="GI43" s="1737"/>
      <c r="GJ43" s="1737"/>
      <c r="GK43" s="1737"/>
      <c r="GL43" s="1737"/>
      <c r="GM43" s="1737"/>
      <c r="GN43" s="1737"/>
      <c r="GO43" s="1737"/>
      <c r="GP43" s="1737"/>
      <c r="GQ43" s="1737"/>
      <c r="GR43" s="1737"/>
      <c r="GS43" s="1737"/>
      <c r="GT43" s="1737"/>
      <c r="GU43" s="1737"/>
      <c r="GV43" s="1737"/>
      <c r="GW43" s="1737"/>
      <c r="GX43" s="1737"/>
      <c r="GY43" s="1737"/>
      <c r="GZ43" s="1737"/>
      <c r="HA43" s="1737"/>
      <c r="HB43" s="1737"/>
      <c r="HC43" s="1737"/>
      <c r="HD43" s="1737"/>
      <c r="HE43" s="1737"/>
      <c r="HF43" s="1737"/>
      <c r="HG43" s="1737"/>
      <c r="HH43" s="1737"/>
      <c r="HI43" s="1737"/>
      <c r="HJ43" s="1737"/>
      <c r="HK43" s="1737"/>
      <c r="HL43" s="1737"/>
      <c r="HM43" s="1737"/>
      <c r="HN43" s="1737"/>
      <c r="HO43" s="1737"/>
      <c r="HP43" s="1737"/>
      <c r="HQ43" s="1737"/>
      <c r="HR43" s="1737"/>
      <c r="HS43" s="1737"/>
      <c r="HT43" s="1737"/>
      <c r="HU43" s="1737"/>
      <c r="HV43" s="1737"/>
      <c r="HW43" s="1737"/>
      <c r="HX43" s="1737"/>
      <c r="HY43" s="1737"/>
      <c r="HZ43" s="1737"/>
      <c r="IA43" s="1737"/>
      <c r="IB43" s="1737"/>
      <c r="IC43" s="1737"/>
      <c r="ID43" s="1737"/>
      <c r="IE43" s="1737"/>
      <c r="IF43" s="1737"/>
      <c r="IG43" s="1737"/>
      <c r="IH43" s="1737"/>
      <c r="II43" s="1737"/>
      <c r="IJ43" s="1737"/>
      <c r="IK43" s="1737"/>
    </row>
    <row r="44" spans="1:245">
      <c r="A44" s="1710"/>
      <c r="B44" s="1710"/>
      <c r="C44" s="1710"/>
      <c r="D44" s="1710"/>
      <c r="E44" s="1710"/>
      <c r="F44" s="1708"/>
      <c r="G44" s="1710"/>
      <c r="H44" s="1710"/>
      <c r="I44" s="1710"/>
      <c r="J44" s="1710"/>
      <c r="K44" s="1710"/>
      <c r="L44" s="1710"/>
      <c r="M44" s="1710"/>
      <c r="N44" s="1710"/>
      <c r="O44" s="1710"/>
      <c r="P44" s="1710"/>
      <c r="Q44" s="1710"/>
      <c r="R44" s="1711"/>
      <c r="S44" s="2204"/>
      <c r="T44" s="1711"/>
      <c r="U44" s="1455"/>
      <c r="V44" s="1455"/>
    </row>
    <row r="45" spans="1:245">
      <c r="A45" s="1710"/>
      <c r="B45" s="1710"/>
      <c r="C45" s="1710"/>
      <c r="D45" s="1710"/>
      <c r="E45" s="1710"/>
      <c r="F45" s="1708" t="s">
        <v>15</v>
      </c>
      <c r="G45" s="1710"/>
      <c r="H45" s="1710"/>
      <c r="I45" s="1710"/>
      <c r="J45" s="1710"/>
      <c r="K45" s="1710"/>
      <c r="L45" s="1710"/>
      <c r="N45" s="1710"/>
      <c r="O45" s="1710"/>
      <c r="P45" s="1710"/>
      <c r="Q45" s="1710"/>
      <c r="R45" s="1711"/>
      <c r="S45" s="1455"/>
      <c r="T45" s="1711"/>
      <c r="U45" s="1455"/>
      <c r="V45" s="1455"/>
    </row>
    <row r="46" spans="1:245">
      <c r="A46" s="1540"/>
      <c r="B46" s="1710"/>
      <c r="C46" s="1710"/>
      <c r="D46" s="1710"/>
      <c r="E46" s="1710"/>
      <c r="F46" s="1710"/>
      <c r="G46" s="1710"/>
      <c r="H46" s="1710"/>
      <c r="I46" s="1710"/>
      <c r="J46" s="1710"/>
      <c r="K46" s="1710"/>
      <c r="L46" s="1710"/>
      <c r="M46" s="1710"/>
      <c r="N46" s="1710"/>
      <c r="O46" s="1710"/>
      <c r="P46" s="1710"/>
      <c r="Q46" s="1710"/>
      <c r="R46" s="1711"/>
      <c r="S46" s="1455"/>
      <c r="T46" s="1711"/>
      <c r="U46" s="1455"/>
      <c r="V46" s="1455"/>
    </row>
    <row r="47" spans="1:245">
      <c r="A47" s="1710"/>
      <c r="B47" s="1710"/>
      <c r="C47" s="1710"/>
      <c r="D47" s="1710"/>
      <c r="E47" s="1710"/>
      <c r="F47" s="1710"/>
      <c r="G47" s="1710"/>
      <c r="H47" s="1710"/>
      <c r="I47" s="1710"/>
      <c r="J47" s="1710"/>
      <c r="K47" s="1710"/>
      <c r="L47" s="1710"/>
      <c r="M47" s="1710"/>
      <c r="N47" s="1710"/>
      <c r="O47" s="1710"/>
      <c r="P47" s="1710"/>
      <c r="Q47" s="1710"/>
      <c r="R47" s="1711"/>
      <c r="S47" s="1455"/>
      <c r="T47" s="1711"/>
      <c r="U47" s="1455"/>
      <c r="V47" s="1455"/>
    </row>
    <row r="48" spans="1:245">
      <c r="A48" s="1710"/>
      <c r="B48" s="1710"/>
      <c r="C48" s="1710"/>
      <c r="D48" s="1710"/>
      <c r="E48" s="1710"/>
      <c r="F48" s="1710"/>
      <c r="G48" s="1710"/>
      <c r="H48" s="1710"/>
      <c r="I48" s="1710"/>
      <c r="J48" s="1710"/>
      <c r="K48" s="1710"/>
      <c r="L48" s="1710"/>
      <c r="M48" s="1710"/>
      <c r="N48" s="1710"/>
      <c r="O48" s="1710"/>
      <c r="P48" s="1710"/>
      <c r="Q48" s="1710"/>
      <c r="R48" s="1711"/>
      <c r="S48" s="1455"/>
      <c r="T48" s="1711"/>
      <c r="U48" s="1455"/>
      <c r="V48" s="1455"/>
    </row>
    <row r="49" spans="1:22">
      <c r="A49" s="1710"/>
      <c r="B49" s="1710"/>
      <c r="C49" s="1710"/>
      <c r="D49" s="1710"/>
      <c r="E49" s="1710"/>
      <c r="F49" s="1710"/>
      <c r="G49" s="1710"/>
      <c r="H49" s="1710"/>
      <c r="I49" s="1710"/>
      <c r="J49" s="1710"/>
      <c r="K49" s="1710"/>
      <c r="L49" s="1710"/>
      <c r="M49" s="1710"/>
      <c r="N49" s="1710"/>
      <c r="O49" s="1710"/>
      <c r="P49" s="1710"/>
      <c r="Q49" s="1710"/>
      <c r="R49" s="1711"/>
      <c r="S49" s="1455"/>
      <c r="T49" s="1711"/>
      <c r="U49" s="1455"/>
      <c r="V49" s="1455"/>
    </row>
    <row r="50" spans="1:22">
      <c r="A50" s="1710"/>
      <c r="B50" s="1710"/>
      <c r="C50" s="1710"/>
      <c r="D50" s="1710"/>
      <c r="E50" s="1710"/>
      <c r="F50" s="1710"/>
      <c r="G50" s="1710"/>
      <c r="H50" s="1710"/>
      <c r="I50" s="1710"/>
      <c r="J50" s="1710"/>
      <c r="K50" s="1710"/>
      <c r="L50" s="1710"/>
      <c r="M50" s="1710"/>
      <c r="N50" s="1710"/>
      <c r="O50" s="1710"/>
      <c r="P50" s="1710"/>
      <c r="Q50" s="1710"/>
      <c r="R50" s="1711"/>
      <c r="S50" s="1455"/>
      <c r="T50" s="1711"/>
      <c r="U50" s="1455"/>
      <c r="V50" s="1455"/>
    </row>
    <row r="51" spans="1:22">
      <c r="A51" s="1710"/>
      <c r="B51" s="1710"/>
      <c r="C51" s="1710"/>
      <c r="D51" s="1710"/>
      <c r="E51" s="1710"/>
      <c r="F51" s="1710"/>
      <c r="G51" s="1710"/>
      <c r="H51" s="1710"/>
      <c r="I51" s="1710"/>
      <c r="J51" s="1710"/>
      <c r="K51" s="1710"/>
      <c r="L51" s="1710"/>
      <c r="M51" s="1710"/>
      <c r="N51" s="1710"/>
      <c r="O51" s="1710"/>
      <c r="P51" s="1710"/>
      <c r="Q51" s="1710"/>
      <c r="R51" s="1711"/>
      <c r="S51" s="1455"/>
      <c r="T51" s="1711"/>
      <c r="U51" s="1455"/>
      <c r="V51" s="1455"/>
    </row>
    <row r="52" spans="1:22">
      <c r="A52" s="1710"/>
      <c r="B52" s="1710"/>
      <c r="C52" s="1710"/>
      <c r="D52" s="1710"/>
      <c r="E52" s="1710"/>
      <c r="F52" s="1710"/>
      <c r="G52" s="1710"/>
      <c r="H52" s="1710"/>
      <c r="I52" s="1710"/>
      <c r="J52" s="1710"/>
      <c r="K52" s="1710"/>
      <c r="L52" s="1710"/>
      <c r="M52" s="1710"/>
      <c r="N52" s="1710"/>
      <c r="O52" s="1710"/>
      <c r="P52" s="1710"/>
      <c r="Q52" s="1710"/>
      <c r="R52" s="1711"/>
      <c r="S52" s="1455"/>
      <c r="T52" s="1711"/>
      <c r="U52" s="1455"/>
      <c r="V52" s="1455"/>
    </row>
    <row r="53" spans="1:22">
      <c r="A53" s="1710"/>
      <c r="B53" s="1710"/>
      <c r="C53" s="1710"/>
      <c r="D53" s="1710"/>
      <c r="E53" s="1710"/>
      <c r="F53" s="1710"/>
      <c r="G53" s="1710"/>
      <c r="H53" s="1710"/>
      <c r="I53" s="1710"/>
      <c r="J53" s="1710"/>
      <c r="K53" s="1710"/>
      <c r="L53" s="1710"/>
      <c r="M53" s="1710"/>
      <c r="N53" s="1710"/>
      <c r="O53" s="1710"/>
      <c r="P53" s="1710"/>
      <c r="Q53" s="1710"/>
      <c r="R53" s="1711"/>
      <c r="S53" s="1455"/>
      <c r="T53" s="1711"/>
      <c r="U53" s="1455"/>
      <c r="V53" s="1455"/>
    </row>
    <row r="54" spans="1:22">
      <c r="A54" s="1710"/>
      <c r="B54" s="1710"/>
      <c r="C54" s="1710"/>
      <c r="D54" s="1710"/>
      <c r="E54" s="1710"/>
      <c r="F54" s="1710"/>
      <c r="G54" s="1710"/>
      <c r="H54" s="1710"/>
      <c r="I54" s="1710"/>
      <c r="J54" s="1710"/>
      <c r="K54" s="1710"/>
      <c r="L54" s="1710"/>
      <c r="M54" s="1710"/>
      <c r="N54" s="1710"/>
      <c r="O54" s="1710"/>
      <c r="P54" s="1710"/>
      <c r="Q54" s="1710"/>
      <c r="R54" s="1711"/>
      <c r="S54" s="1455"/>
      <c r="T54" s="1711"/>
      <c r="U54" s="1455"/>
      <c r="V54" s="1455"/>
    </row>
    <row r="55" spans="1:22">
      <c r="A55" s="1710"/>
      <c r="B55" s="1710"/>
      <c r="C55" s="1710"/>
      <c r="D55" s="1710"/>
      <c r="E55" s="1710"/>
      <c r="F55" s="1710"/>
      <c r="G55" s="1710"/>
      <c r="H55" s="1710"/>
      <c r="I55" s="1710"/>
      <c r="J55" s="1710"/>
      <c r="K55" s="1710"/>
      <c r="L55" s="1710"/>
      <c r="M55" s="1710"/>
      <c r="N55" s="1710"/>
      <c r="O55" s="1710"/>
      <c r="P55" s="1710"/>
      <c r="Q55" s="1710"/>
      <c r="R55" s="1711"/>
      <c r="S55" s="1455"/>
      <c r="T55" s="1711"/>
      <c r="U55" s="1455"/>
      <c r="V55" s="1455"/>
    </row>
    <row r="56" spans="1:22">
      <c r="A56" s="1710"/>
      <c r="B56" s="1710"/>
      <c r="C56" s="1710"/>
      <c r="D56" s="1710"/>
      <c r="E56" s="1710"/>
      <c r="F56" s="1710"/>
      <c r="G56" s="1710"/>
      <c r="H56" s="1710"/>
      <c r="I56" s="1710"/>
      <c r="J56" s="1710"/>
      <c r="K56" s="1710"/>
      <c r="L56" s="1710"/>
      <c r="M56" s="1710"/>
      <c r="N56" s="1710"/>
      <c r="O56" s="1710"/>
      <c r="P56" s="1710"/>
      <c r="Q56" s="1710"/>
      <c r="R56" s="1712"/>
      <c r="S56" s="1710"/>
    </row>
    <row r="57" spans="1:22">
      <c r="A57" s="1710"/>
      <c r="B57" s="1710"/>
      <c r="C57" s="1710"/>
      <c r="D57" s="1710"/>
      <c r="E57" s="1710"/>
      <c r="F57" s="1710"/>
      <c r="G57" s="1710"/>
      <c r="H57" s="1710"/>
      <c r="I57" s="1710"/>
      <c r="J57" s="1710"/>
      <c r="K57" s="1710"/>
      <c r="L57" s="1710"/>
      <c r="M57" s="1710"/>
      <c r="N57" s="1710"/>
      <c r="O57" s="1710"/>
      <c r="P57" s="1710"/>
      <c r="Q57" s="1710"/>
      <c r="R57" s="1712"/>
      <c r="S57" s="1710"/>
    </row>
    <row r="58" spans="1:22">
      <c r="A58" s="1710"/>
      <c r="B58" s="1710"/>
      <c r="C58" s="1710"/>
      <c r="D58" s="1710"/>
      <c r="E58" s="1710"/>
      <c r="F58" s="1710"/>
      <c r="G58" s="1710"/>
      <c r="H58" s="1710"/>
      <c r="I58" s="1710"/>
      <c r="J58" s="1710"/>
      <c r="K58" s="1710"/>
      <c r="L58" s="1710"/>
      <c r="M58" s="1710"/>
      <c r="N58" s="1710"/>
      <c r="O58" s="1710"/>
      <c r="P58" s="1710"/>
      <c r="Q58" s="1710"/>
      <c r="R58" s="1712"/>
      <c r="S58" s="1710"/>
    </row>
    <row r="59" spans="1:22">
      <c r="A59" s="1710"/>
      <c r="B59" s="1710"/>
      <c r="C59" s="1710"/>
      <c r="D59" s="1710"/>
      <c r="E59" s="1710"/>
      <c r="F59" s="1710"/>
      <c r="G59" s="1710"/>
      <c r="H59" s="1710"/>
      <c r="I59" s="1710"/>
      <c r="J59" s="1710"/>
      <c r="K59" s="1710"/>
      <c r="L59" s="1710"/>
      <c r="M59" s="1710"/>
      <c r="N59" s="1710"/>
      <c r="O59" s="1710"/>
      <c r="P59" s="1710"/>
      <c r="Q59" s="1710"/>
      <c r="R59" s="1712"/>
      <c r="S59" s="1710"/>
    </row>
    <row r="60" spans="1:22">
      <c r="A60" s="1710"/>
      <c r="B60" s="1710"/>
      <c r="C60" s="1710"/>
      <c r="D60" s="1710"/>
      <c r="E60" s="1710"/>
      <c r="F60" s="1710"/>
      <c r="G60" s="1710"/>
      <c r="H60" s="1710"/>
      <c r="I60" s="1710"/>
      <c r="J60" s="1710"/>
      <c r="K60" s="1710"/>
      <c r="L60" s="1710"/>
      <c r="M60" s="1710"/>
      <c r="N60" s="1710"/>
      <c r="O60" s="1710"/>
      <c r="P60" s="1710"/>
      <c r="Q60" s="1710"/>
      <c r="R60" s="1712"/>
      <c r="S60" s="1710"/>
    </row>
    <row r="61" spans="1:22">
      <c r="A61" s="1710"/>
      <c r="B61" s="1710"/>
      <c r="C61" s="1710"/>
      <c r="D61" s="1710"/>
      <c r="E61" s="1710"/>
      <c r="F61" s="1710"/>
      <c r="G61" s="1710"/>
      <c r="H61" s="1710"/>
      <c r="I61" s="1710"/>
      <c r="J61" s="1710"/>
      <c r="K61" s="1710"/>
      <c r="L61" s="1710"/>
      <c r="M61" s="1710"/>
      <c r="N61" s="1710"/>
      <c r="O61" s="1710"/>
      <c r="P61" s="1710"/>
      <c r="Q61" s="1710"/>
      <c r="R61" s="1712"/>
      <c r="S61" s="1710"/>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4" firstPageNumber="6" orientation="landscape" useFirstPageNumber="1" r:id="rId2"/>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6"/>
  <sheetViews>
    <sheetView showGridLines="0" zoomScale="80" workbookViewId="0"/>
  </sheetViews>
  <sheetFormatPr defaultColWidth="8.88671875" defaultRowHeight="15"/>
  <cols>
    <col min="1" max="1" width="45.6640625" style="290" customWidth="1"/>
    <col min="2" max="2" width="2.44140625" style="290" customWidth="1"/>
    <col min="3" max="3" width="15.33203125" style="290" customWidth="1"/>
    <col min="4" max="4" width="1.88671875" style="290" customWidth="1"/>
    <col min="5" max="5" width="15.33203125" style="290" customWidth="1"/>
    <col min="6" max="6" width="2.77734375" style="290" customWidth="1"/>
    <col min="7" max="7" width="15.33203125" style="290" customWidth="1"/>
    <col min="8" max="8" width="2" style="290" customWidth="1"/>
    <col min="9" max="9" width="14.88671875" style="290" customWidth="1"/>
    <col min="10" max="10" width="2.33203125" style="290" customWidth="1"/>
    <col min="11" max="11" width="14.109375" style="290" customWidth="1"/>
    <col min="12" max="16384" width="8.88671875" style="290"/>
  </cols>
  <sheetData>
    <row r="1" spans="1:11">
      <c r="A1" s="1052" t="s">
        <v>1064</v>
      </c>
    </row>
    <row r="2" spans="1:11">
      <c r="A2" s="1456"/>
    </row>
    <row r="3" spans="1:11" ht="18">
      <c r="A3" s="330" t="s">
        <v>0</v>
      </c>
      <c r="B3" s="331"/>
      <c r="C3" s="331"/>
      <c r="D3" s="332"/>
      <c r="E3" s="331"/>
      <c r="F3" s="332"/>
      <c r="G3" s="332"/>
      <c r="H3" s="332"/>
      <c r="I3" s="332"/>
      <c r="J3" s="332"/>
      <c r="K3" s="333" t="s">
        <v>85</v>
      </c>
    </row>
    <row r="4" spans="1:11" ht="18">
      <c r="A4" s="330" t="s">
        <v>84</v>
      </c>
      <c r="B4" s="331"/>
      <c r="C4" s="331"/>
      <c r="D4" s="332"/>
      <c r="E4" s="331"/>
      <c r="F4" s="332"/>
      <c r="G4" s="332"/>
      <c r="H4" s="332"/>
      <c r="I4" s="333"/>
      <c r="J4" s="334"/>
    </row>
    <row r="5" spans="1:11" ht="20.25" customHeight="1">
      <c r="A5" s="3741" t="s">
        <v>1462</v>
      </c>
      <c r="B5" s="3742"/>
      <c r="C5" s="3742"/>
      <c r="D5" s="3742"/>
      <c r="E5" s="3742"/>
      <c r="F5" s="332"/>
      <c r="G5" s="335"/>
      <c r="H5" s="332"/>
      <c r="I5" s="332"/>
      <c r="J5" s="332"/>
      <c r="K5" s="332"/>
    </row>
    <row r="6" spans="1:11" ht="18.75" customHeight="1">
      <c r="A6" s="1451" t="s">
        <v>1463</v>
      </c>
      <c r="B6" s="337"/>
      <c r="C6" s="338"/>
      <c r="D6" s="332"/>
      <c r="E6" s="338"/>
      <c r="F6" s="332"/>
      <c r="G6" s="332"/>
      <c r="H6" s="332"/>
      <c r="I6" s="332"/>
      <c r="J6" s="332"/>
      <c r="K6" s="332"/>
    </row>
    <row r="7" spans="1:11" ht="18">
      <c r="A7" s="381" t="s">
        <v>958</v>
      </c>
      <c r="B7" s="338"/>
      <c r="C7" s="338"/>
      <c r="D7" s="332"/>
      <c r="E7" s="338"/>
      <c r="F7" s="332"/>
      <c r="G7" s="332"/>
      <c r="H7" s="332"/>
      <c r="I7" s="332"/>
      <c r="J7" s="332"/>
      <c r="K7" s="332"/>
    </row>
    <row r="8" spans="1:11" ht="18">
      <c r="A8" s="339"/>
      <c r="B8" s="332"/>
      <c r="C8" s="332"/>
      <c r="D8" s="332"/>
      <c r="E8" s="332"/>
      <c r="F8" s="332"/>
      <c r="G8" s="332"/>
      <c r="H8" s="332"/>
      <c r="I8" s="332"/>
      <c r="J8" s="332"/>
      <c r="K8" s="332"/>
    </row>
    <row r="9" spans="1:11">
      <c r="A9" s="340"/>
      <c r="B9" s="332"/>
      <c r="C9" s="332"/>
      <c r="D9" s="332"/>
      <c r="E9" s="332"/>
      <c r="F9" s="332"/>
      <c r="G9" s="332"/>
      <c r="H9" s="332"/>
      <c r="I9" s="332"/>
      <c r="J9" s="332"/>
      <c r="K9" s="332"/>
    </row>
    <row r="10" spans="1:11">
      <c r="A10" s="340"/>
      <c r="B10" s="332"/>
      <c r="C10" s="332"/>
      <c r="D10" s="332"/>
      <c r="E10" s="332"/>
      <c r="F10" s="332"/>
      <c r="G10" s="332"/>
      <c r="H10" s="332"/>
      <c r="I10" s="332"/>
      <c r="J10" s="332"/>
      <c r="K10" s="332"/>
    </row>
    <row r="11" spans="1:11" ht="15.75">
      <c r="A11" s="218"/>
      <c r="B11" s="341"/>
      <c r="C11" s="3743" t="s">
        <v>1246</v>
      </c>
      <c r="D11" s="3743"/>
      <c r="E11" s="3743"/>
      <c r="F11" s="3743"/>
      <c r="G11" s="3743"/>
      <c r="H11" s="3743"/>
      <c r="I11" s="3743"/>
      <c r="J11" s="1977"/>
      <c r="K11" s="1978"/>
    </row>
    <row r="12" spans="1:11" ht="15.75">
      <c r="A12" s="218"/>
      <c r="B12" s="341"/>
      <c r="C12" s="342"/>
      <c r="D12" s="342"/>
      <c r="E12" s="342"/>
      <c r="F12" s="342"/>
      <c r="G12" s="342"/>
      <c r="H12" s="342"/>
      <c r="I12" s="343" t="s">
        <v>86</v>
      </c>
      <c r="J12" s="343"/>
      <c r="K12" s="343" t="s">
        <v>86</v>
      </c>
    </row>
    <row r="13" spans="1:11" ht="15.75">
      <c r="A13" s="218"/>
      <c r="B13" s="341"/>
      <c r="C13" s="342"/>
      <c r="D13" s="342"/>
      <c r="E13" s="342"/>
      <c r="F13" s="342"/>
      <c r="G13" s="342"/>
      <c r="H13" s="342"/>
      <c r="I13" s="343" t="s">
        <v>965</v>
      </c>
      <c r="J13" s="343"/>
      <c r="K13" s="343" t="s">
        <v>965</v>
      </c>
    </row>
    <row r="14" spans="1:11" ht="15.75">
      <c r="A14" s="218"/>
      <c r="B14" s="341"/>
      <c r="C14" s="344" t="s">
        <v>1190</v>
      </c>
      <c r="D14" s="342"/>
      <c r="E14" s="343" t="s">
        <v>1191</v>
      </c>
      <c r="F14" s="342"/>
      <c r="G14" s="342"/>
      <c r="H14" s="342"/>
      <c r="I14" s="343" t="s">
        <v>87</v>
      </c>
      <c r="J14" s="343"/>
      <c r="K14" s="343" t="s">
        <v>87</v>
      </c>
    </row>
    <row r="15" spans="1:11" ht="15.75">
      <c r="A15" s="218"/>
      <c r="B15" s="341"/>
      <c r="C15" s="343" t="s">
        <v>1232</v>
      </c>
      <c r="D15" s="342"/>
      <c r="E15" s="343" t="s">
        <v>1232</v>
      </c>
      <c r="F15" s="342"/>
      <c r="G15" s="342"/>
      <c r="H15" s="342"/>
      <c r="I15" s="343" t="s">
        <v>1190</v>
      </c>
      <c r="J15" s="343"/>
      <c r="K15" s="343" t="s">
        <v>1191</v>
      </c>
    </row>
    <row r="16" spans="1:11" ht="15.75">
      <c r="A16" s="218"/>
      <c r="B16" s="341"/>
      <c r="C16" s="343" t="s">
        <v>1233</v>
      </c>
      <c r="D16" s="342"/>
      <c r="E16" s="343" t="s">
        <v>1488</v>
      </c>
      <c r="F16" s="342"/>
      <c r="G16" s="344" t="s">
        <v>86</v>
      </c>
      <c r="H16" s="342"/>
      <c r="I16" s="343" t="s">
        <v>88</v>
      </c>
      <c r="J16" s="343"/>
      <c r="K16" s="343" t="s">
        <v>88</v>
      </c>
    </row>
    <row r="17" spans="1:13">
      <c r="A17" s="345"/>
      <c r="B17" s="346"/>
      <c r="C17" s="347"/>
      <c r="D17" s="332"/>
      <c r="E17" s="347"/>
      <c r="F17" s="332"/>
      <c r="G17" s="347"/>
      <c r="H17" s="332"/>
      <c r="I17" s="347"/>
      <c r="J17" s="346"/>
      <c r="K17" s="347"/>
    </row>
    <row r="18" spans="1:13" ht="15.75">
      <c r="A18" s="216" t="s">
        <v>14</v>
      </c>
      <c r="B18" s="348"/>
      <c r="C18" s="349"/>
      <c r="D18" s="349"/>
      <c r="E18" s="349"/>
      <c r="F18" s="349"/>
      <c r="G18" s="349"/>
      <c r="H18" s="349"/>
      <c r="I18" s="349"/>
      <c r="J18" s="349"/>
      <c r="K18" s="348"/>
    </row>
    <row r="19" spans="1:13" ht="15" customHeight="1">
      <c r="A19" s="1443" t="s">
        <v>89</v>
      </c>
      <c r="B19" s="350" t="s">
        <v>15</v>
      </c>
      <c r="C19" s="351"/>
      <c r="D19" s="350"/>
      <c r="E19" s="351"/>
      <c r="F19" s="350"/>
      <c r="G19" s="288"/>
      <c r="H19" s="350"/>
      <c r="I19" s="288"/>
      <c r="J19" s="288"/>
      <c r="K19" s="239"/>
    </row>
    <row r="20" spans="1:13">
      <c r="A20" s="352" t="s">
        <v>90</v>
      </c>
      <c r="B20" s="350" t="s">
        <v>15</v>
      </c>
      <c r="C20" s="3125">
        <f>'Exh D General Fund  '!C20+'Exh D Special Revenue'!C20+'Exh D Debt Service'!C20</f>
        <v>5896</v>
      </c>
      <c r="D20" s="3518"/>
      <c r="E20" s="3125">
        <f>+'Exh D General Fund  '!E20+'Exh D Special Revenue'!E20+'Exh D Debt Service'!E20</f>
        <v>0</v>
      </c>
      <c r="F20" s="353"/>
      <c r="G20" s="237">
        <f>+'Exh D General Fund  '!G20+'Exh D Special Revenue'!G20+'Exh D Debt Service'!G20</f>
        <v>5856.2</v>
      </c>
      <c r="H20" s="353"/>
      <c r="I20" s="237">
        <f t="shared" ref="I20:I25" si="0">ROUND(SUM(G20)-SUM(C20),1)</f>
        <v>-39.799999999999997</v>
      </c>
      <c r="J20" s="354"/>
      <c r="K20" s="237">
        <v>0</v>
      </c>
      <c r="M20" s="1979"/>
    </row>
    <row r="21" spans="1:13">
      <c r="A21" s="1443" t="s">
        <v>91</v>
      </c>
      <c r="B21" s="348" t="s">
        <v>15</v>
      </c>
      <c r="C21" s="307">
        <f>+'Exh D General Fund  '!C21+'Exh D Debt Service'!C21+'Exh D Special Revenue'!C21+'Exh D Capital Projects'!C20</f>
        <v>1280</v>
      </c>
      <c r="D21" s="307"/>
      <c r="E21" s="307">
        <f>+'Exh D General Fund  '!E21+'Exh D Special Revenue'!E21+'Exh D Debt Service'!E21+'Exh D Capital Projects'!E20</f>
        <v>0</v>
      </c>
      <c r="F21" s="254"/>
      <c r="G21" s="254">
        <f>+'Exh D General Fund  '!G21+'Exh D Special Revenue'!G21+'Exh D Debt Service'!G21+'Exh D Capital Projects'!G20</f>
        <v>1277.4000000000001</v>
      </c>
      <c r="H21" s="254"/>
      <c r="I21" s="254">
        <f t="shared" si="0"/>
        <v>-2.6</v>
      </c>
      <c r="J21" s="354"/>
      <c r="K21" s="254">
        <v>0</v>
      </c>
      <c r="M21" s="1979"/>
    </row>
    <row r="22" spans="1:13" ht="17.25" customHeight="1">
      <c r="A22" s="1443" t="s">
        <v>92</v>
      </c>
      <c r="B22" s="350" t="s">
        <v>15</v>
      </c>
      <c r="C22" s="307">
        <f>+'Exh D General Fund  '!C22+'Exh D Special Revenue'!C22+'Exh D Capital Projects'!C21</f>
        <v>590</v>
      </c>
      <c r="D22" s="308"/>
      <c r="E22" s="307">
        <f>+'Exh D General Fund  '!E22+'Exh D Special Revenue'!E22+'Exh D Capital Projects'!E21</f>
        <v>0</v>
      </c>
      <c r="F22" s="265"/>
      <c r="G22" s="254">
        <f>+'Exh D General Fund  '!G22+'Exh D Special Revenue'!G22+'Exh D Capital Projects'!G21</f>
        <v>585.1</v>
      </c>
      <c r="H22" s="265"/>
      <c r="I22" s="254">
        <f t="shared" si="0"/>
        <v>-4.9000000000000004</v>
      </c>
      <c r="J22" s="354"/>
      <c r="K22" s="254">
        <v>0</v>
      </c>
      <c r="M22" s="1979"/>
    </row>
    <row r="23" spans="1:13" ht="14.25" customHeight="1">
      <c r="A23" s="1443" t="s">
        <v>93</v>
      </c>
      <c r="B23" s="348" t="s">
        <v>15</v>
      </c>
      <c r="C23" s="307">
        <f>+'Exh D General Fund  '!C23+'Exh D Special Revenue'!C23+'Exh D Capital Projects'!C22+'Exh D Debt Service'!C22</f>
        <v>150</v>
      </c>
      <c r="D23" s="307"/>
      <c r="E23" s="307">
        <f>+'Exh D General Fund  '!E23+'Exh D Special Revenue'!E23+'Exh D Debt Service'!E22+'Exh D Capital Projects'!E22</f>
        <v>0</v>
      </c>
      <c r="F23" s="254"/>
      <c r="G23" s="254">
        <f>+'Exh D General Fund  '!G23+'Exh D Special Revenue'!G23+'Exh D Debt Service'!G22+'Exh D Capital Projects'!G22</f>
        <v>138.6</v>
      </c>
      <c r="H23" s="254"/>
      <c r="I23" s="254">
        <f t="shared" si="0"/>
        <v>-11.4</v>
      </c>
      <c r="J23" s="354"/>
      <c r="K23" s="254">
        <v>0</v>
      </c>
      <c r="M23" s="1979"/>
    </row>
    <row r="24" spans="1:13">
      <c r="A24" s="1443" t="s">
        <v>20</v>
      </c>
      <c r="B24" s="348" t="s">
        <v>15</v>
      </c>
      <c r="C24" s="307">
        <f>+'Exh D General Fund  '!C24+'Exh D Special Revenue'!C24+'Exh D Debt Service'!C23+'Exh D Capital Projects'!C23</f>
        <v>2292</v>
      </c>
      <c r="D24" s="307"/>
      <c r="E24" s="307">
        <f>+'Exh D General Fund  '!E24+'Exh D Special Revenue'!E24+'Exh D Debt Service'!E23+'Exh D Capital Projects'!E23</f>
        <v>0</v>
      </c>
      <c r="F24" s="254"/>
      <c r="G24" s="254">
        <f>+'Exh D General Fund  '!G24+'Exh D Special Revenue'!G24+'Exh D Debt Service'!G23+'Exh D Capital Projects'!G23</f>
        <v>2208.6999999999998</v>
      </c>
      <c r="H24" s="254"/>
      <c r="I24" s="254">
        <f t="shared" si="0"/>
        <v>-83.3</v>
      </c>
      <c r="J24" s="355"/>
      <c r="K24" s="254">
        <v>0</v>
      </c>
      <c r="M24" s="1979"/>
    </row>
    <row r="25" spans="1:13" ht="15" customHeight="1">
      <c r="A25" s="1443" t="s">
        <v>21</v>
      </c>
      <c r="B25" s="348" t="s">
        <v>15</v>
      </c>
      <c r="C25" s="1139">
        <f>+'Exh D General Fund  '!C25+'Exh D Debt Service'!C24+'Exh D Special Revenue'!C25+'Exh D Capital Projects'!C24</f>
        <v>3616</v>
      </c>
      <c r="D25" s="307"/>
      <c r="E25" s="1139">
        <f>+'Exh D General Fund  '!E25+'Exh D Special Revenue'!E25+'Exh D Debt Service'!E24+'Exh D Capital Projects'!E24</f>
        <v>0</v>
      </c>
      <c r="F25" s="254"/>
      <c r="G25" s="492">
        <f>+'Exh D General Fund  '!G25+'Exh D Special Revenue'!G25+'Exh D Debt Service'!G24+'Exh D Capital Projects'!G24</f>
        <v>3616</v>
      </c>
      <c r="H25" s="254"/>
      <c r="I25" s="254">
        <f t="shared" si="0"/>
        <v>0</v>
      </c>
      <c r="J25" s="355"/>
      <c r="K25" s="254">
        <v>0</v>
      </c>
      <c r="M25" s="1979"/>
    </row>
    <row r="26" spans="1:13" ht="15.75">
      <c r="A26" s="363" t="s">
        <v>94</v>
      </c>
      <c r="B26" s="341" t="s">
        <v>15</v>
      </c>
      <c r="C26" s="2382">
        <f>ROUND(SUM(C20:C25),1)</f>
        <v>13824</v>
      </c>
      <c r="D26" s="301"/>
      <c r="E26" s="2382">
        <f>ROUND(SUM(E20:E25),1)</f>
        <v>0</v>
      </c>
      <c r="F26" s="250"/>
      <c r="G26" s="406">
        <f>ROUND(SUM(G20:G25),1)</f>
        <v>13682</v>
      </c>
      <c r="H26" s="250"/>
      <c r="I26" s="406">
        <f>ROUND(SUM(I20:I25),1)</f>
        <v>-142</v>
      </c>
      <c r="J26" s="356"/>
      <c r="K26" s="406">
        <f>ROUND(SUM(K20:K25),1)</f>
        <v>0</v>
      </c>
      <c r="M26" s="1979"/>
    </row>
    <row r="27" spans="1:13">
      <c r="A27" s="218"/>
      <c r="B27" s="348" t="s">
        <v>15</v>
      </c>
      <c r="C27" s="315"/>
      <c r="D27" s="307"/>
      <c r="E27" s="315"/>
      <c r="F27" s="254"/>
      <c r="G27" s="277"/>
      <c r="H27" s="254"/>
      <c r="I27" s="277"/>
      <c r="J27" s="247"/>
      <c r="K27" s="277"/>
      <c r="M27" s="1979"/>
    </row>
    <row r="28" spans="1:13" ht="15.75">
      <c r="A28" s="216" t="s">
        <v>23</v>
      </c>
      <c r="B28" s="348" t="s">
        <v>15</v>
      </c>
      <c r="C28" s="307"/>
      <c r="D28" s="307"/>
      <c r="E28" s="307"/>
      <c r="F28" s="254"/>
      <c r="G28" s="254"/>
      <c r="H28" s="254"/>
      <c r="I28" s="254"/>
      <c r="J28" s="355"/>
      <c r="K28" s="243"/>
      <c r="M28" s="1979"/>
    </row>
    <row r="29" spans="1:13">
      <c r="A29" s="1443" t="s">
        <v>95</v>
      </c>
      <c r="B29" s="348" t="s">
        <v>15</v>
      </c>
      <c r="C29" s="1139">
        <f>+'Exh D General Fund  '!C34+'Exh D Special Revenue'!C30+'Exh D Capital Projects'!C30</f>
        <v>7749</v>
      </c>
      <c r="D29" s="307"/>
      <c r="E29" s="1139">
        <f>+'Exh D General Fund  '!E34+'Exh D Special Revenue'!E30+'Exh D Capital Projects'!E30</f>
        <v>0</v>
      </c>
      <c r="F29" s="254"/>
      <c r="G29" s="492">
        <f>+'Exh D General Fund  '!G34+'Exh D Special Revenue'!G30+'Exh D Capital Projects'!G30</f>
        <v>7700.7000000000007</v>
      </c>
      <c r="H29" s="254"/>
      <c r="I29" s="254">
        <f>ROUND(SUM(G29)-SUM(C29),1)</f>
        <v>-48.3</v>
      </c>
      <c r="J29" s="355"/>
      <c r="K29" s="254">
        <v>0</v>
      </c>
      <c r="M29" s="1979"/>
    </row>
    <row r="30" spans="1:13">
      <c r="A30" s="1443" t="s">
        <v>96</v>
      </c>
      <c r="B30" s="348" t="s">
        <v>15</v>
      </c>
      <c r="C30" s="308">
        <f>+'Exh D General Fund  '!C35+'Exh D Special Revenue'!C31+'Exh D Debt Service'!C29</f>
        <v>1514</v>
      </c>
      <c r="D30" s="307"/>
      <c r="E30" s="308">
        <f>+'Exh D General Fund  '!E35+'Exh D Special Revenue'!E31+'Exh D Debt Service'!E29</f>
        <v>0</v>
      </c>
      <c r="F30" s="254"/>
      <c r="G30" s="265">
        <f>+'Exh D General Fund  '!G35+'Exh D Special Revenue'!G31+'Exh D Debt Service'!G29</f>
        <v>1519.3999999999999</v>
      </c>
      <c r="H30" s="254"/>
      <c r="I30" s="254">
        <f>ROUND(SUM(G30)-SUM(C30),1)</f>
        <v>5.4</v>
      </c>
      <c r="J30" s="355"/>
      <c r="K30" s="254">
        <v>0</v>
      </c>
      <c r="M30" s="1979"/>
    </row>
    <row r="31" spans="1:13">
      <c r="A31" s="1443" t="s">
        <v>71</v>
      </c>
      <c r="B31" s="348" t="s">
        <v>15</v>
      </c>
      <c r="C31" s="1139">
        <f>+'Exh D General Fund  '!C36+'Exh D Special Revenue'!C32</f>
        <v>2863</v>
      </c>
      <c r="D31" s="307"/>
      <c r="E31" s="1139">
        <f>+'Exh D General Fund  '!E36+'Exh D Special Revenue'!E32</f>
        <v>0</v>
      </c>
      <c r="F31" s="254"/>
      <c r="G31" s="492">
        <f>+'Exh D General Fund  '!G36+'Exh D Special Revenue'!G32</f>
        <v>2865.5</v>
      </c>
      <c r="H31" s="254"/>
      <c r="I31" s="254">
        <f>ROUND(SUM(G31)-SUM(C31),1)</f>
        <v>2.5</v>
      </c>
      <c r="J31" s="355"/>
      <c r="K31" s="254">
        <v>0</v>
      </c>
      <c r="M31" s="1979"/>
    </row>
    <row r="32" spans="1:13">
      <c r="A32" s="1443" t="s">
        <v>97</v>
      </c>
      <c r="B32" s="348" t="s">
        <v>15</v>
      </c>
      <c r="C32" s="308">
        <f>+'Exh D Debt Service'!C30</f>
        <v>64</v>
      </c>
      <c r="D32" s="307"/>
      <c r="E32" s="308">
        <f>+'Exh D Debt Service'!E30</f>
        <v>0</v>
      </c>
      <c r="F32" s="254"/>
      <c r="G32" s="265">
        <f>+'Exh D Debt Service'!G30</f>
        <v>64.099999999999994</v>
      </c>
      <c r="H32" s="254"/>
      <c r="I32" s="254">
        <f>ROUND(SUM(G32)-SUM(C32),1)</f>
        <v>0.1</v>
      </c>
      <c r="J32" s="355"/>
      <c r="K32" s="254">
        <v>0</v>
      </c>
      <c r="M32" s="1979"/>
    </row>
    <row r="33" spans="1:14" ht="15" customHeight="1">
      <c r="A33" s="1443" t="s">
        <v>42</v>
      </c>
      <c r="B33" s="348" t="s">
        <v>15</v>
      </c>
      <c r="C33" s="1139">
        <f>+'Exh D Special Revenue'!C33+'Exh D Capital Projects'!C31</f>
        <v>361</v>
      </c>
      <c r="D33" s="307"/>
      <c r="E33" s="1139">
        <f>+'Exh D Special Revenue'!E33+'Exh D Capital Projects'!E31</f>
        <v>0</v>
      </c>
      <c r="F33" s="254"/>
      <c r="G33" s="492">
        <f>+'Exh D Special Revenue'!G33+'Exh D Capital Projects'!G31</f>
        <v>361.2</v>
      </c>
      <c r="H33" s="254"/>
      <c r="I33" s="254">
        <f>ROUND(SUM(G33)-SUM(C33),1)</f>
        <v>0.2</v>
      </c>
      <c r="J33" s="355"/>
      <c r="K33" s="254">
        <v>0</v>
      </c>
      <c r="M33" s="1979"/>
    </row>
    <row r="34" spans="1:14" ht="15.75" customHeight="1">
      <c r="A34" s="363" t="s">
        <v>98</v>
      </c>
      <c r="B34" s="341" t="s">
        <v>15</v>
      </c>
      <c r="C34" s="1835">
        <f>ROUND(SUM(C29:C33),1)</f>
        <v>12551</v>
      </c>
      <c r="D34" s="301"/>
      <c r="E34" s="1835">
        <f>ROUND(SUM(E29:E33),1)</f>
        <v>0</v>
      </c>
      <c r="F34" s="250"/>
      <c r="G34" s="517">
        <f>ROUND(SUM(G29:G33),1)</f>
        <v>12510.9</v>
      </c>
      <c r="H34" s="250"/>
      <c r="I34" s="517">
        <f>ROUND(SUM(I29:I33),1)</f>
        <v>-40.1</v>
      </c>
      <c r="J34" s="356"/>
      <c r="K34" s="517">
        <f>ROUND(SUM(K29:K33),1)</f>
        <v>0</v>
      </c>
      <c r="M34" s="1979"/>
    </row>
    <row r="35" spans="1:14">
      <c r="A35" s="218"/>
      <c r="B35" s="348"/>
      <c r="C35" s="307"/>
      <c r="D35" s="307"/>
      <c r="E35" s="307"/>
      <c r="F35" s="254"/>
      <c r="G35" s="254"/>
      <c r="H35" s="254"/>
      <c r="I35" s="254"/>
      <c r="J35" s="355"/>
      <c r="K35" s="243"/>
      <c r="M35" s="1979"/>
    </row>
    <row r="36" spans="1:14" ht="15.75">
      <c r="A36" s="363" t="s">
        <v>44</v>
      </c>
      <c r="B36" s="348"/>
      <c r="C36" s="307"/>
      <c r="D36" s="307"/>
      <c r="E36" s="307"/>
      <c r="F36" s="254"/>
      <c r="G36" s="254"/>
      <c r="H36" s="254"/>
      <c r="I36" s="254"/>
      <c r="J36" s="355"/>
      <c r="K36" s="243"/>
      <c r="M36" s="1979"/>
    </row>
    <row r="37" spans="1:14" ht="15.75">
      <c r="A37" s="363" t="s">
        <v>45</v>
      </c>
      <c r="B37" s="348" t="s">
        <v>15</v>
      </c>
      <c r="C37" s="302">
        <f>ROUND(SUM(+C26-C34),1)</f>
        <v>1273</v>
      </c>
      <c r="D37" s="307"/>
      <c r="E37" s="302">
        <f>ROUND(SUM(+E26-E34),1)</f>
        <v>0</v>
      </c>
      <c r="F37" s="254"/>
      <c r="G37" s="262">
        <f>ROUND(SUM(+G26-G34),1)</f>
        <v>1171.0999999999999</v>
      </c>
      <c r="H37" s="254"/>
      <c r="I37" s="262">
        <f>ROUND(SUM(+I26-I34),1)</f>
        <v>-101.9</v>
      </c>
      <c r="J37" s="247"/>
      <c r="K37" s="1461">
        <f>ROUND(SUM(+K26-K34),1)</f>
        <v>0</v>
      </c>
      <c r="M37" s="1979"/>
    </row>
    <row r="38" spans="1:14">
      <c r="A38" s="218"/>
      <c r="B38" s="348"/>
      <c r="C38" s="307"/>
      <c r="D38" s="307"/>
      <c r="E38" s="307"/>
      <c r="F38" s="254"/>
      <c r="G38" s="254"/>
      <c r="H38" s="254"/>
      <c r="I38" s="254"/>
      <c r="J38" s="355"/>
      <c r="K38" s="243"/>
      <c r="M38" s="1979"/>
    </row>
    <row r="39" spans="1:14" ht="15.75">
      <c r="A39" s="363" t="s">
        <v>46</v>
      </c>
      <c r="B39" s="348"/>
      <c r="C39" s="307"/>
      <c r="D39" s="307"/>
      <c r="E39" s="307"/>
      <c r="F39" s="254"/>
      <c r="G39" s="254"/>
      <c r="H39" s="254"/>
      <c r="I39" s="254"/>
      <c r="J39" s="355"/>
      <c r="K39" s="243"/>
      <c r="M39" s="1979"/>
      <c r="N39" s="1596" t="s">
        <v>15</v>
      </c>
    </row>
    <row r="40" spans="1:14">
      <c r="A40" s="1443" t="s">
        <v>99</v>
      </c>
      <c r="B40" s="348" t="s">
        <v>15</v>
      </c>
      <c r="C40" s="1813">
        <f>'Exh D Captl Projects State Fed'!C25</f>
        <v>0</v>
      </c>
      <c r="D40" s="307"/>
      <c r="E40" s="1813">
        <f>'Exh D Captl Projects State Fed'!E25</f>
        <v>0</v>
      </c>
      <c r="F40" s="254"/>
      <c r="G40" s="493">
        <f>'Exh D Captl Projects State Fed'!G25</f>
        <v>0</v>
      </c>
      <c r="H40" s="254"/>
      <c r="I40" s="254">
        <f>ROUND(SUM(G40)-SUM(C40),1)</f>
        <v>0</v>
      </c>
      <c r="J40" s="361"/>
      <c r="K40" s="254">
        <f t="shared" ref="K40" si="1">ROUND(SUM(G40)-SUM(E40),1)</f>
        <v>0</v>
      </c>
      <c r="M40" s="1979"/>
    </row>
    <row r="41" spans="1:14">
      <c r="A41" s="1443" t="s">
        <v>48</v>
      </c>
      <c r="B41" s="348" t="s">
        <v>15</v>
      </c>
      <c r="C41" s="308">
        <f>+'Exh D General Fund  '!C27+'Exh D General Fund  '!C28+'Exh D General Fund  '!C29+'Exh D General Fund  '!C30+'Exh D Special Revenue'!C26+'Exh D Debt Service'!C25+'Exh D Capital Projects'!C26</f>
        <v>4309</v>
      </c>
      <c r="D41" s="307"/>
      <c r="E41" s="308">
        <f>+'Exh D General Fund  '!E27+'Exh D General Fund  '!E28+'Exh D General Fund  '!E29+'Exh D General Fund  '!E30+'Exh D Special Revenue'!E26+'Exh D Debt Service'!E25+'Exh D Capital Projects'!E26</f>
        <v>0</v>
      </c>
      <c r="F41" s="254"/>
      <c r="G41" s="265">
        <f>+'Exh D General Fund  '!G27+'Exh D General Fund  '!G28+'Exh D General Fund  '!G29+'Exh D General Fund  '!G30+'Exh D Special Revenue'!K26+'Exh D Debt Service'!G25+'Exh D Capital Projects'!K26</f>
        <v>4144.2</v>
      </c>
      <c r="H41" s="254"/>
      <c r="I41" s="254">
        <f>ROUND(SUM(G41)-SUM(C41),1)</f>
        <v>-164.8</v>
      </c>
      <c r="J41" s="355"/>
      <c r="K41" s="254">
        <v>0</v>
      </c>
      <c r="M41" s="1979"/>
    </row>
    <row r="42" spans="1:14">
      <c r="A42" s="1443" t="s">
        <v>100</v>
      </c>
      <c r="B42" s="348" t="s">
        <v>15</v>
      </c>
      <c r="C42" s="3519">
        <f>-(+'Exh D General Fund  '!C38+'Exh D General Fund  '!C39+'Exh D General Fund  '!C40+'Exh D General Fund  '!C41+'Exh D General Fund  '!C42+'Exh D Special Revenue'!C34+'Exh D Debt Service'!C31+'Exh D Capital Projects'!C32)</f>
        <v>-4311</v>
      </c>
      <c r="D42" s="307"/>
      <c r="E42" s="3519">
        <f>-(+'Exh D General Fund  '!E38+'Exh D General Fund  '!E39+'Exh D General Fund  '!E40+'Exh D General Fund  '!E41+'Exh D General Fund  '!E42+'Exh D Special Revenue'!E34+'Exh D Debt Service'!E31+'Exh D Capital Projects'!E32)</f>
        <v>0</v>
      </c>
      <c r="F42" s="254"/>
      <c r="G42" s="497">
        <f>-(+'Exh D General Fund  '!G38+'Exh D General Fund  '!G39+'Exh D General Fund  '!G40+'Exh D General Fund  '!G41+'Exh D General Fund  '!G42+'Exh D Special Revenue'!K34+'Exh D Debt Service'!G31+'Exh D Capital Projects'!K32)</f>
        <v>-4050.8</v>
      </c>
      <c r="H42" s="254"/>
      <c r="I42" s="896">
        <f>-ROUND(SUM(G42)-SUM(C42),1)</f>
        <v>-260.2</v>
      </c>
      <c r="J42" s="247"/>
      <c r="K42" s="254">
        <v>0</v>
      </c>
      <c r="M42" s="1979"/>
    </row>
    <row r="43" spans="1:14" ht="15.75">
      <c r="A43" s="363" t="s">
        <v>101</v>
      </c>
      <c r="B43" s="348" t="s">
        <v>15</v>
      </c>
      <c r="C43" s="309">
        <f>ROUND(+SUM(C40)+C41+C42,1)</f>
        <v>-2</v>
      </c>
      <c r="D43" s="307"/>
      <c r="E43" s="309">
        <f>ROUND(+SUM(E40)+E41+E42,1)</f>
        <v>0</v>
      </c>
      <c r="F43" s="254"/>
      <c r="G43" s="499">
        <f>ROUND(+SUM(G40)+G41+G42,1)</f>
        <v>93.4</v>
      </c>
      <c r="H43" s="254"/>
      <c r="I43" s="499">
        <f>ROUND(SUM(I40+I41-I42),1)</f>
        <v>95.4</v>
      </c>
      <c r="J43" s="362"/>
      <c r="K43" s="2611">
        <f>ROUND(SUM(K40+K41-K42),1)</f>
        <v>0</v>
      </c>
      <c r="M43" s="1979"/>
    </row>
    <row r="44" spans="1:14" ht="15.75">
      <c r="A44" s="363"/>
      <c r="B44" s="348"/>
      <c r="C44" s="308"/>
      <c r="D44" s="307"/>
      <c r="E44" s="308"/>
      <c r="F44" s="254"/>
      <c r="G44" s="265"/>
      <c r="H44" s="254"/>
      <c r="I44" s="265"/>
      <c r="J44" s="350"/>
      <c r="K44" s="266"/>
      <c r="M44" s="1979"/>
    </row>
    <row r="45" spans="1:14" ht="15.75">
      <c r="A45" s="216" t="s">
        <v>102</v>
      </c>
      <c r="B45" s="348"/>
      <c r="C45" s="307"/>
      <c r="D45" s="307"/>
      <c r="E45" s="307"/>
      <c r="F45" s="254"/>
      <c r="G45" s="254"/>
      <c r="H45" s="254"/>
      <c r="I45" s="254"/>
      <c r="J45" s="355"/>
      <c r="K45" s="243"/>
      <c r="M45" s="1979"/>
    </row>
    <row r="46" spans="1:14" ht="15" customHeight="1">
      <c r="A46" s="216" t="s">
        <v>103</v>
      </c>
      <c r="B46" s="348"/>
      <c r="C46" s="307"/>
      <c r="D46" s="307"/>
      <c r="E46" s="307"/>
      <c r="F46" s="254"/>
      <c r="G46" s="254"/>
      <c r="H46" s="254"/>
      <c r="I46" s="254"/>
      <c r="J46" s="355"/>
      <c r="K46" s="243"/>
      <c r="M46" s="1979"/>
    </row>
    <row r="47" spans="1:14" ht="15.75">
      <c r="A47" s="363" t="s">
        <v>104</v>
      </c>
      <c r="B47" s="364" t="s">
        <v>15</v>
      </c>
      <c r="C47" s="304">
        <f>ROUND(SUM(C26)-SUM(C34)+C43,1)</f>
        <v>1271</v>
      </c>
      <c r="D47" s="1853"/>
      <c r="E47" s="304">
        <f>ROUND(SUM(E26)-SUM(E34)+E43,1)</f>
        <v>0</v>
      </c>
      <c r="F47" s="273"/>
      <c r="G47" s="264">
        <f>ROUND(SUM(G26)-SUM(G34)+G43,1)</f>
        <v>1264.5</v>
      </c>
      <c r="H47" s="273"/>
      <c r="I47" s="264">
        <f>ROUND(SUM(I26)-SUM(I34)+I43,1)</f>
        <v>-6.5</v>
      </c>
      <c r="J47" s="356"/>
      <c r="K47" s="264">
        <f>ROUND(SUM(K26)-SUM(K34)+K43,1)</f>
        <v>0</v>
      </c>
      <c r="M47" s="1979"/>
    </row>
    <row r="48" spans="1:14">
      <c r="A48" s="221"/>
      <c r="B48" s="366"/>
      <c r="C48" s="2920"/>
      <c r="D48" s="3520"/>
      <c r="E48" s="2920"/>
      <c r="F48" s="1149"/>
      <c r="G48" s="623"/>
      <c r="H48" s="1149"/>
      <c r="I48" s="623"/>
      <c r="J48" s="368"/>
      <c r="K48" s="623"/>
      <c r="M48" s="1979"/>
    </row>
    <row r="49" spans="1:13" ht="15.75">
      <c r="A49" s="363" t="s">
        <v>105</v>
      </c>
      <c r="B49" s="369" t="s">
        <v>15</v>
      </c>
      <c r="C49" s="304">
        <f>'Exh D General Fund  '!C49+'Exh D Special Revenue'!C41+'Exh D Debt Service'!C38+'Exh D Capital Projects'!C39</f>
        <v>12749</v>
      </c>
      <c r="D49" s="3520"/>
      <c r="E49" s="304">
        <v>0</v>
      </c>
      <c r="F49" s="1149"/>
      <c r="G49" s="264">
        <f>'Exh D General Fund  '!G49+'Exh D Special Revenue'!G41+'Exh D Debt Service'!G38+'Exh D Capital Projects'!G39</f>
        <v>12749</v>
      </c>
      <c r="H49" s="1149"/>
      <c r="I49" s="264">
        <f>ROUND(SUM(G49-C49),1)</f>
        <v>0</v>
      </c>
      <c r="J49" s="356"/>
      <c r="K49" s="1587">
        <v>0</v>
      </c>
      <c r="M49" s="1979"/>
    </row>
    <row r="50" spans="1:13" ht="16.5" thickBot="1">
      <c r="A50" s="2616" t="s">
        <v>1464</v>
      </c>
      <c r="B50" s="370" t="s">
        <v>15</v>
      </c>
      <c r="C50" s="2384">
        <f>ROUND(SUM(C47:C49),1)</f>
        <v>14020</v>
      </c>
      <c r="D50" s="3390"/>
      <c r="E50" s="2384">
        <f>ROUND(SUM(E47:E49),1)</f>
        <v>0</v>
      </c>
      <c r="F50" s="371"/>
      <c r="G50" s="287">
        <f>ROUND(SUM(G47:G49),1)</f>
        <v>14013.5</v>
      </c>
      <c r="H50" s="371"/>
      <c r="I50" s="287">
        <f>ROUND(SUM(I47:I49),1)</f>
        <v>-6.5</v>
      </c>
      <c r="J50" s="372"/>
      <c r="K50" s="287">
        <f>ROUND(SUM(K47:K49),1)</f>
        <v>0</v>
      </c>
      <c r="M50" s="1979"/>
    </row>
    <row r="51" spans="1:13" ht="15.75" thickTop="1">
      <c r="A51" s="221"/>
      <c r="B51" s="366"/>
      <c r="C51" s="3521"/>
      <c r="D51" s="3522"/>
      <c r="E51" s="3521"/>
      <c r="F51" s="367"/>
      <c r="G51" s="367"/>
      <c r="H51" s="367"/>
      <c r="I51" s="367"/>
      <c r="J51" s="367"/>
      <c r="K51" s="366"/>
      <c r="M51" s="1979"/>
    </row>
    <row r="52" spans="1:13">
      <c r="A52" s="1601" t="s">
        <v>1509</v>
      </c>
      <c r="K52" s="2012"/>
      <c r="M52" s="1979"/>
    </row>
    <row r="53" spans="1:13">
      <c r="A53" s="2964"/>
      <c r="G53" s="1979"/>
    </row>
    <row r="54" spans="1:13">
      <c r="A54" s="374"/>
    </row>
    <row r="55" spans="1:13">
      <c r="A55" s="373"/>
      <c r="G55" s="1979"/>
    </row>
    <row r="56" spans="1:13">
      <c r="A56" s="373"/>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8" firstPageNumber="7"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4"/>
  <sheetViews>
    <sheetView showGridLines="0" zoomScale="80" workbookViewId="0"/>
  </sheetViews>
  <sheetFormatPr defaultColWidth="8.88671875" defaultRowHeight="15"/>
  <cols>
    <col min="1" max="1" width="45.6640625" style="290" customWidth="1"/>
    <col min="2" max="2" width="2.44140625" style="290" customWidth="1"/>
    <col min="3" max="3" width="15.33203125" style="290" customWidth="1"/>
    <col min="4" max="4" width="3.77734375" style="290" customWidth="1"/>
    <col min="5" max="5" width="15.33203125" style="290" customWidth="1"/>
    <col min="6" max="6" width="3.21875" style="290" customWidth="1"/>
    <col min="7" max="7" width="15.33203125" style="290" customWidth="1"/>
    <col min="8" max="8" width="3.88671875" style="290" customWidth="1"/>
    <col min="9" max="9" width="15.33203125" style="290" customWidth="1"/>
    <col min="10" max="10" width="3" style="290" customWidth="1"/>
    <col min="11" max="11" width="15.33203125" style="290" customWidth="1"/>
    <col min="12" max="16384" width="8.88671875" style="290"/>
  </cols>
  <sheetData>
    <row r="1" spans="1:11">
      <c r="A1" s="1588" t="s">
        <v>1064</v>
      </c>
    </row>
    <row r="2" spans="1:11">
      <c r="A2" s="1456"/>
    </row>
    <row r="3" spans="1:11" ht="18">
      <c r="A3" s="330" t="s">
        <v>0</v>
      </c>
      <c r="B3" s="331"/>
      <c r="C3" s="331"/>
      <c r="D3" s="332"/>
      <c r="E3" s="331"/>
      <c r="F3" s="332"/>
      <c r="G3" s="332"/>
      <c r="H3" s="332"/>
      <c r="I3" s="332"/>
      <c r="J3" s="332"/>
      <c r="K3" s="333" t="s">
        <v>85</v>
      </c>
    </row>
    <row r="4" spans="1:11" ht="18">
      <c r="A4" s="330" t="s">
        <v>84</v>
      </c>
      <c r="B4" s="331"/>
      <c r="C4" s="331"/>
      <c r="D4" s="332"/>
      <c r="E4" s="331"/>
      <c r="F4" s="332"/>
      <c r="G4" s="332"/>
      <c r="H4" s="332"/>
      <c r="I4" s="333"/>
      <c r="J4" s="334"/>
      <c r="K4" s="1453"/>
    </row>
    <row r="5" spans="1:11" ht="20.25" customHeight="1">
      <c r="A5" s="3741" t="str">
        <f>'Exh D-Governmental  '!A5:E5</f>
        <v>FISCAL YEAR 2018-2019</v>
      </c>
      <c r="B5" s="3742"/>
      <c r="C5" s="3742"/>
      <c r="D5" s="3742"/>
      <c r="E5" s="3742"/>
      <c r="F5" s="332"/>
      <c r="G5" s="335"/>
      <c r="H5" s="332"/>
      <c r="I5" s="1453"/>
      <c r="J5" s="332"/>
    </row>
    <row r="6" spans="1:11" ht="18.75" customHeight="1">
      <c r="A6" s="2365" t="str">
        <f>'Exh D-Governmental  '!A6</f>
        <v>FOR ONE MONTH ENDED APRIL 30, 2018</v>
      </c>
      <c r="B6" s="337"/>
      <c r="C6" s="338"/>
      <c r="D6" s="332"/>
      <c r="E6" s="338"/>
      <c r="F6" s="332"/>
      <c r="G6" s="332"/>
      <c r="H6" s="332"/>
      <c r="I6" s="332"/>
      <c r="J6" s="332"/>
      <c r="K6" s="332"/>
    </row>
    <row r="7" spans="1:11" ht="18">
      <c r="A7" s="381" t="s">
        <v>958</v>
      </c>
      <c r="B7" s="338"/>
      <c r="C7" s="338"/>
      <c r="D7" s="332"/>
      <c r="E7" s="338"/>
      <c r="F7" s="332"/>
      <c r="G7" s="332"/>
      <c r="H7" s="332"/>
      <c r="I7" s="332"/>
      <c r="J7" s="332"/>
      <c r="K7" s="332"/>
    </row>
    <row r="8" spans="1:11" ht="18">
      <c r="A8" s="339"/>
      <c r="B8" s="332"/>
      <c r="C8" s="332"/>
      <c r="D8" s="332"/>
      <c r="E8" s="332"/>
      <c r="F8" s="332"/>
      <c r="G8" s="332"/>
      <c r="H8" s="332"/>
      <c r="I8" s="332"/>
      <c r="J8" s="332"/>
      <c r="K8" s="332"/>
    </row>
    <row r="9" spans="1:11">
      <c r="A9" s="340"/>
      <c r="B9" s="332"/>
      <c r="C9" s="332"/>
      <c r="D9" s="332"/>
      <c r="E9" s="332"/>
      <c r="F9" s="332"/>
      <c r="G9" s="332"/>
      <c r="H9" s="332"/>
      <c r="I9" s="332"/>
      <c r="J9" s="332"/>
      <c r="K9" s="332"/>
    </row>
    <row r="10" spans="1:11">
      <c r="A10" s="340"/>
      <c r="B10" s="332"/>
      <c r="C10" s="332"/>
      <c r="D10" s="332"/>
      <c r="E10" s="332"/>
      <c r="F10" s="332"/>
      <c r="G10" s="332"/>
      <c r="H10" s="332"/>
      <c r="I10" s="332"/>
      <c r="J10" s="332"/>
      <c r="K10" s="332"/>
    </row>
    <row r="11" spans="1:11" ht="15.75">
      <c r="A11" s="1212"/>
      <c r="B11" s="341"/>
      <c r="C11" s="3743" t="s">
        <v>1491</v>
      </c>
      <c r="D11" s="3743"/>
      <c r="E11" s="3743"/>
      <c r="F11" s="3743"/>
      <c r="G11" s="3743"/>
      <c r="H11" s="3743"/>
      <c r="I11" s="3743"/>
      <c r="J11" s="1984"/>
      <c r="K11" s="1978"/>
    </row>
    <row r="12" spans="1:11" ht="15.75">
      <c r="A12" s="1212"/>
      <c r="B12" s="341"/>
      <c r="C12" s="342"/>
      <c r="D12" s="342"/>
      <c r="E12" s="342"/>
      <c r="F12" s="342"/>
      <c r="G12" s="342"/>
      <c r="H12" s="342"/>
      <c r="I12" s="343" t="s">
        <v>86</v>
      </c>
      <c r="J12" s="343"/>
      <c r="K12" s="343" t="s">
        <v>86</v>
      </c>
    </row>
    <row r="13" spans="1:11" ht="15.75">
      <c r="A13" s="1212"/>
      <c r="B13" s="341"/>
      <c r="C13" s="342"/>
      <c r="D13" s="342"/>
      <c r="E13" s="342"/>
      <c r="F13" s="342"/>
      <c r="G13" s="342"/>
      <c r="H13" s="342"/>
      <c r="I13" s="343" t="s">
        <v>965</v>
      </c>
      <c r="J13" s="343"/>
      <c r="K13" s="343" t="s">
        <v>965</v>
      </c>
    </row>
    <row r="14" spans="1:11" ht="15.75">
      <c r="A14" s="1212"/>
      <c r="B14" s="341"/>
      <c r="C14" s="344" t="s">
        <v>1190</v>
      </c>
      <c r="D14" s="342"/>
      <c r="E14" s="343" t="s">
        <v>1191</v>
      </c>
      <c r="F14" s="342"/>
      <c r="G14" s="342"/>
      <c r="H14" s="342"/>
      <c r="I14" s="343" t="s">
        <v>87</v>
      </c>
      <c r="J14" s="343"/>
      <c r="K14" s="343" t="s">
        <v>87</v>
      </c>
    </row>
    <row r="15" spans="1:11" ht="15.75">
      <c r="A15" s="1212"/>
      <c r="B15" s="341"/>
      <c r="C15" s="389" t="s">
        <v>1232</v>
      </c>
      <c r="D15" s="388"/>
      <c r="E15" s="389" t="s">
        <v>1232</v>
      </c>
      <c r="F15" s="342"/>
      <c r="G15" s="342"/>
      <c r="H15" s="342"/>
      <c r="I15" s="343" t="s">
        <v>1190</v>
      </c>
      <c r="J15" s="343"/>
      <c r="K15" s="343" t="s">
        <v>1191</v>
      </c>
    </row>
    <row r="16" spans="1:11" ht="15.75">
      <c r="A16" s="1212"/>
      <c r="B16" s="341"/>
      <c r="C16" s="389" t="s">
        <v>1233</v>
      </c>
      <c r="D16" s="388"/>
      <c r="E16" s="389" t="s">
        <v>1488</v>
      </c>
      <c r="F16" s="342"/>
      <c r="G16" s="344" t="s">
        <v>86</v>
      </c>
      <c r="H16" s="342"/>
      <c r="I16" s="343" t="s">
        <v>88</v>
      </c>
      <c r="J16" s="343"/>
      <c r="K16" s="343" t="s">
        <v>88</v>
      </c>
    </row>
    <row r="17" spans="1:12">
      <c r="A17" s="345"/>
      <c r="B17" s="346"/>
      <c r="C17" s="2712"/>
      <c r="D17" s="338"/>
      <c r="E17" s="2712"/>
      <c r="F17" s="332"/>
      <c r="G17" s="347"/>
      <c r="H17" s="332"/>
      <c r="I17" s="347"/>
      <c r="J17" s="346"/>
      <c r="K17" s="347"/>
    </row>
    <row r="18" spans="1:12" ht="15.75">
      <c r="A18" s="216" t="s">
        <v>14</v>
      </c>
      <c r="B18" s="1589"/>
      <c r="C18" s="2713"/>
      <c r="D18" s="2713"/>
      <c r="E18" s="2713"/>
      <c r="F18" s="1115"/>
      <c r="G18" s="1115"/>
      <c r="H18" s="1115"/>
      <c r="I18" s="1589"/>
      <c r="J18" s="1115"/>
      <c r="K18" s="1589"/>
    </row>
    <row r="19" spans="1:12" ht="15" customHeight="1">
      <c r="A19" s="1443" t="s">
        <v>89</v>
      </c>
      <c r="B19" s="1590" t="s">
        <v>15</v>
      </c>
      <c r="C19" s="3523"/>
      <c r="D19" s="3219"/>
      <c r="E19" s="3523"/>
      <c r="F19" s="1590"/>
      <c r="G19" s="1591"/>
      <c r="H19" s="1590"/>
      <c r="I19" s="2011"/>
      <c r="J19" s="1591"/>
      <c r="K19" s="2011"/>
    </row>
    <row r="20" spans="1:12">
      <c r="A20" s="1443" t="s">
        <v>90</v>
      </c>
      <c r="B20" s="1590" t="s">
        <v>15</v>
      </c>
      <c r="C20" s="1543">
        <f>'Exh D General Fund  '!C20+'Exh D Special Revenue State Fed'!C20+'Exh D Debt Service'!C20</f>
        <v>5896</v>
      </c>
      <c r="D20" s="1542"/>
      <c r="E20" s="1543">
        <f>'Exh D General Fund  '!E20+'Exh D Special Revenue State Fed'!E20+'Exh D Debt Service'!E20</f>
        <v>0</v>
      </c>
      <c r="F20" s="1118"/>
      <c r="G20" s="1116">
        <f>+'Exh A Supp'!T17</f>
        <v>5856.2</v>
      </c>
      <c r="H20" s="1118"/>
      <c r="I20" s="1671">
        <f t="shared" ref="I20:I25" si="0">ROUND(SUM(G20)-SUM(C20),1)</f>
        <v>-39.799999999999997</v>
      </c>
      <c r="J20" s="1592"/>
      <c r="K20" s="1671">
        <v>0</v>
      </c>
    </row>
    <row r="21" spans="1:12">
      <c r="A21" s="1443" t="s">
        <v>91</v>
      </c>
      <c r="B21" s="1589" t="s">
        <v>15</v>
      </c>
      <c r="C21" s="1544">
        <f>'Exh D General Fund  '!C21+'Exh D Special Revenue State Fed'!C21+'Exh D Debt Service'!C21</f>
        <v>1231</v>
      </c>
      <c r="D21" s="1544"/>
      <c r="E21" s="1544">
        <f>'Exh D General Fund  '!E21+'Exh D Special Revenue State Fed'!E21+'Exh D Debt Service'!E21</f>
        <v>0</v>
      </c>
      <c r="F21" s="1042"/>
      <c r="G21" s="1042">
        <f>+'Exh A Supp'!T18</f>
        <v>1233</v>
      </c>
      <c r="H21" s="1042"/>
      <c r="I21" s="1608">
        <f t="shared" si="0"/>
        <v>2</v>
      </c>
      <c r="J21" s="1592"/>
      <c r="K21" s="1608">
        <v>0</v>
      </c>
    </row>
    <row r="22" spans="1:12" ht="17.25" customHeight="1">
      <c r="A22" s="1443" t="s">
        <v>92</v>
      </c>
      <c r="B22" s="1590" t="s">
        <v>15</v>
      </c>
      <c r="C22" s="1544">
        <f>'Exh D General Fund  '!C22+'Exh D Special Revenue State Fed'!C22</f>
        <v>536</v>
      </c>
      <c r="D22" s="1206"/>
      <c r="E22" s="1544">
        <f>'Exh D General Fund  '!E22+'Exh D Special Revenue State Fed'!E22</f>
        <v>0</v>
      </c>
      <c r="F22" s="1188"/>
      <c r="G22" s="1042">
        <f>+'Exh A Supp'!T19</f>
        <v>517.5</v>
      </c>
      <c r="H22" s="1188"/>
      <c r="I22" s="1608">
        <f t="shared" si="0"/>
        <v>-18.5</v>
      </c>
      <c r="J22" s="1592"/>
      <c r="K22" s="1608">
        <v>0</v>
      </c>
    </row>
    <row r="23" spans="1:12" ht="14.25" customHeight="1">
      <c r="A23" s="1443" t="s">
        <v>93</v>
      </c>
      <c r="B23" s="1589" t="s">
        <v>15</v>
      </c>
      <c r="C23" s="1544">
        <f>'Exh D General Fund  '!C23+'Exh D Special Revenue State Fed'!C23+'Exh D Debt Service'!C22</f>
        <v>150</v>
      </c>
      <c r="D23" s="1544"/>
      <c r="E23" s="1544">
        <f>'Exh D General Fund  '!E23+'Exh D Special Revenue State Fed'!E23+'Exh D Debt Service'!E22</f>
        <v>0</v>
      </c>
      <c r="F23" s="1042"/>
      <c r="G23" s="1042">
        <f>+'Exh A Supp'!T20</f>
        <v>138.6</v>
      </c>
      <c r="H23" s="1042"/>
      <c r="I23" s="1608">
        <f t="shared" si="0"/>
        <v>-11.4</v>
      </c>
      <c r="J23" s="1592"/>
      <c r="K23" s="1608">
        <v>0</v>
      </c>
    </row>
    <row r="24" spans="1:12">
      <c r="A24" s="1443" t="s">
        <v>20</v>
      </c>
      <c r="B24" s="1589" t="s">
        <v>15</v>
      </c>
      <c r="C24" s="1544">
        <f>'Exh D General Fund  '!C24+'Exh D Special Revenue State Fed'!C24+'Exh D Debt Service'!C23</f>
        <v>1880</v>
      </c>
      <c r="D24" s="1544"/>
      <c r="E24" s="1544">
        <f>'Exh D General Fund  '!E24+'Exh D Special Revenue State Fed'!E24+'Exh D Debt Service'!E23</f>
        <v>0</v>
      </c>
      <c r="F24" s="1042"/>
      <c r="G24" s="1042">
        <f>+'Exh A Supp'!T21</f>
        <v>1787.7</v>
      </c>
      <c r="H24" s="1042"/>
      <c r="I24" s="1608">
        <f t="shared" si="0"/>
        <v>-92.3</v>
      </c>
      <c r="J24" s="1438"/>
      <c r="K24" s="1608">
        <v>0</v>
      </c>
    </row>
    <row r="25" spans="1:12" ht="15" customHeight="1">
      <c r="A25" s="1443" t="s">
        <v>21</v>
      </c>
      <c r="B25" s="1589" t="s">
        <v>15</v>
      </c>
      <c r="C25" s="1207">
        <f>'Exh D General Fund  '!C25+'Exh D Special Revenue State Fed'!C25+'Exh D Debt Service'!C24</f>
        <v>-3</v>
      </c>
      <c r="D25" s="1544"/>
      <c r="E25" s="1207">
        <f>'Exh D General Fund  '!E25+'Exh D Special Revenue State Fed'!E25+'Exh D Debt Service'!E24</f>
        <v>0</v>
      </c>
      <c r="F25" s="1042"/>
      <c r="G25" s="1042">
        <f>+'Exh A Supp'!T22</f>
        <v>-2.6</v>
      </c>
      <c r="H25" s="1042"/>
      <c r="I25" s="1608">
        <f t="shared" si="0"/>
        <v>0.4</v>
      </c>
      <c r="J25" s="1438"/>
      <c r="K25" s="1608">
        <v>0</v>
      </c>
    </row>
    <row r="26" spans="1:12" ht="15.75">
      <c r="A26" s="363" t="s">
        <v>94</v>
      </c>
      <c r="B26" s="341" t="s">
        <v>15</v>
      </c>
      <c r="C26" s="2382">
        <f>ROUND(SUM(C20:C25),1)</f>
        <v>9690</v>
      </c>
      <c r="D26" s="301"/>
      <c r="E26" s="2382">
        <f>ROUND(SUM(E20:E25),1)</f>
        <v>0</v>
      </c>
      <c r="F26" s="1587"/>
      <c r="G26" s="406">
        <f>ROUND(SUM(G20:G25),1)</f>
        <v>9530.4</v>
      </c>
      <c r="H26" s="1587"/>
      <c r="I26" s="406">
        <f>ROUND(SUM(I20:I25),1)</f>
        <v>-159.6</v>
      </c>
      <c r="J26" s="356"/>
      <c r="K26" s="406">
        <f>ROUND(SUM(K20:K25),1)</f>
        <v>0</v>
      </c>
      <c r="L26" s="640"/>
    </row>
    <row r="27" spans="1:12">
      <c r="A27" s="1212"/>
      <c r="B27" s="1589" t="s">
        <v>15</v>
      </c>
      <c r="C27" s="1758"/>
      <c r="D27" s="1544"/>
      <c r="E27" s="1758"/>
      <c r="F27" s="1042"/>
      <c r="G27" s="1210"/>
      <c r="H27" s="1042"/>
      <c r="I27" s="1210"/>
      <c r="J27" s="1129"/>
      <c r="K27" s="1210"/>
    </row>
    <row r="28" spans="1:12" ht="15.75">
      <c r="A28" s="216" t="s">
        <v>23</v>
      </c>
      <c r="B28" s="1589" t="s">
        <v>15</v>
      </c>
      <c r="C28" s="1544"/>
      <c r="D28" s="1544"/>
      <c r="E28" s="1544"/>
      <c r="F28" s="1042"/>
      <c r="G28" s="1042"/>
      <c r="H28" s="1042"/>
      <c r="I28" s="1608"/>
      <c r="J28" s="1438"/>
      <c r="K28" s="1608"/>
    </row>
    <row r="29" spans="1:12">
      <c r="A29" s="1443" t="s">
        <v>95</v>
      </c>
      <c r="B29" s="1589" t="s">
        <v>15</v>
      </c>
      <c r="C29" s="1207">
        <f>'Exh D General Fund  '!C34+'Exh D Special Revenue State Fed'!C30</f>
        <v>3593</v>
      </c>
      <c r="D29" s="1544"/>
      <c r="E29" s="1207">
        <f>'Exh D General Fund  '!E34+'Exh D Special Revenue State Fed'!E30</f>
        <v>0</v>
      </c>
      <c r="F29" s="1042"/>
      <c r="G29" s="1208">
        <f>+'Exh A Supp'!T37</f>
        <v>3591.8</v>
      </c>
      <c r="H29" s="1042"/>
      <c r="I29" s="1608">
        <f>ROUND(SUM(G29)-SUM(C29),1)</f>
        <v>-1.2</v>
      </c>
      <c r="J29" s="1438"/>
      <c r="K29" s="1608">
        <v>0</v>
      </c>
      <c r="L29" s="640"/>
    </row>
    <row r="30" spans="1:12">
      <c r="A30" s="1443" t="s">
        <v>96</v>
      </c>
      <c r="B30" s="1589" t="s">
        <v>15</v>
      </c>
      <c r="C30" s="1206">
        <f>'Exh D General Fund  '!C35+'Exh D Special Revenue State Fed'!C31+'Exh D Debt Service'!C29</f>
        <v>1391</v>
      </c>
      <c r="D30" s="1544"/>
      <c r="E30" s="1206">
        <f>'Exh D General Fund  '!E35+'Exh D Special Revenue State Fed'!E31+'Exh D Debt Service'!E29</f>
        <v>0</v>
      </c>
      <c r="F30" s="1042"/>
      <c r="G30" s="1188">
        <f>+'Exh A Supp'!T39+'Exh A Supp'!T40</f>
        <v>1398</v>
      </c>
      <c r="H30" s="1042"/>
      <c r="I30" s="1608">
        <f>ROUND(SUM(G30)-SUM(C30),1)</f>
        <v>7</v>
      </c>
      <c r="J30" s="1438"/>
      <c r="K30" s="1608">
        <v>0</v>
      </c>
      <c r="L30" s="640"/>
    </row>
    <row r="31" spans="1:12">
      <c r="A31" s="1443" t="s">
        <v>71</v>
      </c>
      <c r="B31" s="1589" t="s">
        <v>15</v>
      </c>
      <c r="C31" s="1207">
        <f>'Exh D General Fund  '!C36+'Exh D Special Revenue State Fed'!C32</f>
        <v>2824</v>
      </c>
      <c r="D31" s="1544"/>
      <c r="E31" s="1207">
        <f>'Exh D General Fund  '!E36+'Exh D Special Revenue State Fed'!E32</f>
        <v>0</v>
      </c>
      <c r="F31" s="1042"/>
      <c r="G31" s="1208">
        <f>+'Exh A Supp'!T41</f>
        <v>2826.1</v>
      </c>
      <c r="H31" s="1042"/>
      <c r="I31" s="1608">
        <f>ROUND(SUM(G31)-SUM(C31),1)</f>
        <v>2.1</v>
      </c>
      <c r="J31" s="1438"/>
      <c r="K31" s="1608">
        <v>0</v>
      </c>
      <c r="L31" s="640"/>
    </row>
    <row r="32" spans="1:12">
      <c r="A32" s="1443" t="s">
        <v>97</v>
      </c>
      <c r="B32" s="1589" t="s">
        <v>15</v>
      </c>
      <c r="C32" s="1206">
        <f>'Exh D Debt Service'!C30</f>
        <v>64</v>
      </c>
      <c r="D32" s="1544"/>
      <c r="E32" s="1206">
        <f>'Exh D Debt Service'!E30</f>
        <v>0</v>
      </c>
      <c r="F32" s="1042"/>
      <c r="G32" s="1208">
        <f>+'Exh A Supp'!T43</f>
        <v>64.099999999999994</v>
      </c>
      <c r="H32" s="1042"/>
      <c r="I32" s="1608">
        <f>ROUND(SUM(G32)-SUM(C32),1)</f>
        <v>0.1</v>
      </c>
      <c r="J32" s="1438"/>
      <c r="K32" s="1608">
        <v>0</v>
      </c>
      <c r="L32" s="640"/>
    </row>
    <row r="33" spans="1:12" ht="15" customHeight="1">
      <c r="A33" s="1443" t="s">
        <v>42</v>
      </c>
      <c r="B33" s="1589" t="s">
        <v>15</v>
      </c>
      <c r="C33" s="1207">
        <f>'Exh D Special Revenue State Fed'!C33</f>
        <v>0</v>
      </c>
      <c r="D33" s="1544"/>
      <c r="E33" s="1207">
        <f>'Exh D Special Revenue State Fed'!E33</f>
        <v>0</v>
      </c>
      <c r="F33" s="1042"/>
      <c r="G33" s="1208">
        <f>+'Exh A Supp'!T44</f>
        <v>0</v>
      </c>
      <c r="H33" s="1042"/>
      <c r="I33" s="1608">
        <f>ROUND(SUM(G33)-SUM(C33),1)</f>
        <v>0</v>
      </c>
      <c r="J33" s="1438"/>
      <c r="K33" s="1608">
        <f t="shared" ref="K33" si="1">ROUND(SUM(G33)-SUM(E33),1)</f>
        <v>0</v>
      </c>
      <c r="L33" s="640"/>
    </row>
    <row r="34" spans="1:12" ht="15.75" customHeight="1">
      <c r="A34" s="363" t="s">
        <v>98</v>
      </c>
      <c r="B34" s="341" t="s">
        <v>15</v>
      </c>
      <c r="C34" s="1835">
        <f>ROUND(SUM(C29:C33),1)</f>
        <v>7872</v>
      </c>
      <c r="D34" s="301"/>
      <c r="E34" s="1835">
        <f>ROUND(SUM(E29:E33),1)</f>
        <v>0</v>
      </c>
      <c r="F34" s="1587"/>
      <c r="G34" s="517">
        <f>ROUND(SUM(G29:G33),1)</f>
        <v>7880</v>
      </c>
      <c r="H34" s="1587"/>
      <c r="I34" s="517">
        <f>ROUND(SUM(I29:I33),1)</f>
        <v>8</v>
      </c>
      <c r="J34" s="356"/>
      <c r="K34" s="517">
        <f>ROUND(SUM(K29:K33),1)</f>
        <v>0</v>
      </c>
      <c r="L34" s="640"/>
    </row>
    <row r="35" spans="1:12">
      <c r="A35" s="1212"/>
      <c r="B35" s="1589"/>
      <c r="C35" s="1544"/>
      <c r="D35" s="1544"/>
      <c r="E35" s="1544"/>
      <c r="F35" s="1042"/>
      <c r="G35" s="1042"/>
      <c r="H35" s="1042"/>
      <c r="I35" s="1608"/>
      <c r="J35" s="1438"/>
      <c r="K35" s="1608"/>
      <c r="L35" s="640"/>
    </row>
    <row r="36" spans="1:12" ht="15.75">
      <c r="A36" s="363" t="s">
        <v>44</v>
      </c>
      <c r="B36" s="1589"/>
      <c r="C36" s="1544"/>
      <c r="D36" s="1544"/>
      <c r="E36" s="1544"/>
      <c r="F36" s="1042"/>
      <c r="G36" s="1042"/>
      <c r="H36" s="1042"/>
      <c r="I36" s="1608"/>
      <c r="J36" s="1438"/>
      <c r="K36" s="1608"/>
      <c r="L36" s="640"/>
    </row>
    <row r="37" spans="1:12" ht="15.75">
      <c r="A37" s="363" t="s">
        <v>45</v>
      </c>
      <c r="B37" s="1589" t="s">
        <v>15</v>
      </c>
      <c r="C37" s="1856">
        <f>ROUND(SUM(+C26-C34),1)</f>
        <v>1818</v>
      </c>
      <c r="D37" s="1544"/>
      <c r="E37" s="1856">
        <f>ROUND(SUM(+E26-E34),1)</f>
        <v>0</v>
      </c>
      <c r="F37" s="1042"/>
      <c r="G37" s="1461">
        <f>ROUND(SUM(+G26-G34),1)</f>
        <v>1650.4</v>
      </c>
      <c r="H37" s="1042"/>
      <c r="I37" s="1461">
        <f>ROUND(SUM(+I26-I34),1)</f>
        <v>-167.6</v>
      </c>
      <c r="J37" s="1129"/>
      <c r="K37" s="1461">
        <f>ROUND(SUM(+K26-K34),1)</f>
        <v>0</v>
      </c>
      <c r="L37" s="640"/>
    </row>
    <row r="38" spans="1:12">
      <c r="A38" s="1212"/>
      <c r="B38" s="1589"/>
      <c r="C38" s="1544"/>
      <c r="D38" s="1544"/>
      <c r="E38" s="1544"/>
      <c r="F38" s="1042"/>
      <c r="G38" s="1042"/>
      <c r="H38" s="1042"/>
      <c r="I38" s="1608"/>
      <c r="J38" s="1438"/>
      <c r="K38" s="1608"/>
      <c r="L38" s="640"/>
    </row>
    <row r="39" spans="1:12" ht="15.75">
      <c r="A39" s="363" t="s">
        <v>46</v>
      </c>
      <c r="B39" s="1589"/>
      <c r="C39" s="1544"/>
      <c r="D39" s="1544"/>
      <c r="E39" s="1544"/>
      <c r="F39" s="1042"/>
      <c r="G39" s="1042"/>
      <c r="H39" s="1042"/>
      <c r="I39" s="1608"/>
      <c r="J39" s="1438"/>
      <c r="K39" s="1608"/>
      <c r="L39" s="640"/>
    </row>
    <row r="40" spans="1:12">
      <c r="A40" s="1443" t="s">
        <v>48</v>
      </c>
      <c r="B40" s="1589" t="s">
        <v>15</v>
      </c>
      <c r="C40" s="1206">
        <f>'Exh D General Fund  '!C27+'Exh D General Fund  '!C28+'Exh D General Fund  '!C29+'Exh D General Fund  '!C30+'Exh D Special Revenue State Fed'!C26+'Exh D Debt Service'!C25</f>
        <v>4250</v>
      </c>
      <c r="D40" s="1544"/>
      <c r="E40" s="1206">
        <f>'Exh D General Fund  '!E27+'Exh D General Fund  '!E28+'Exh D General Fund  '!E29+'Exh D General Fund  '!E30+'Exh D Special Revenue State Fed'!E26+'Exh D Debt Service'!E25</f>
        <v>0</v>
      </c>
      <c r="F40" s="1042"/>
      <c r="G40" s="1188">
        <f>+'Exh A Supp'!T51</f>
        <v>4147.3</v>
      </c>
      <c r="H40" s="2217" t="s">
        <v>940</v>
      </c>
      <c r="I40" s="1608">
        <f>ROUND(SUM(G40)-SUM(C40),1)</f>
        <v>-102.7</v>
      </c>
      <c r="J40" s="1438"/>
      <c r="K40" s="1608">
        <v>0</v>
      </c>
      <c r="L40" s="640"/>
    </row>
    <row r="41" spans="1:12">
      <c r="A41" s="1443" t="s">
        <v>100</v>
      </c>
      <c r="B41" s="1589" t="s">
        <v>15</v>
      </c>
      <c r="C41" s="2381">
        <f>-('Exh D General Fund  '!C38+'Exh D General Fund  '!C39+'Exh D General Fund  '!C40+'Exh D General Fund  '!C41+'Exh D General Fund  '!C42+'Exh D Special Revenue State Fed'!C34+'Exh D Debt Service'!C31)</f>
        <v>-4188</v>
      </c>
      <c r="D41" s="1544"/>
      <c r="E41" s="2381">
        <f>-('Exh D General Fund  '!E38+'Exh D General Fund  '!E39+'Exh D General Fund  '!E40+'Exh D General Fund  '!E41+'Exh D General Fund  '!E42+'Exh D Special Revenue State Fed'!E34+'Exh D Debt Service'!E31)</f>
        <v>0</v>
      </c>
      <c r="F41" s="1042"/>
      <c r="G41" s="1188">
        <f>+'Exh A Supp'!T52</f>
        <v>-4017.1</v>
      </c>
      <c r="H41" s="2217" t="s">
        <v>940</v>
      </c>
      <c r="I41" s="1608">
        <f>-ROUND(SUM(G41)-SUM(C41),1)</f>
        <v>-170.9</v>
      </c>
      <c r="J41" s="1129"/>
      <c r="K41" s="1608">
        <v>0</v>
      </c>
      <c r="L41" s="640"/>
    </row>
    <row r="42" spans="1:12" ht="15.75">
      <c r="A42" s="363" t="s">
        <v>101</v>
      </c>
      <c r="B42" s="1589" t="s">
        <v>15</v>
      </c>
      <c r="C42" s="1835">
        <f>ROUND(SUM(C40:C41),1)</f>
        <v>62</v>
      </c>
      <c r="D42" s="1544"/>
      <c r="E42" s="1835">
        <f>ROUND(SUM(E40:E41),1)</f>
        <v>0</v>
      </c>
      <c r="F42" s="1042"/>
      <c r="G42" s="517">
        <f>ROUND(SUM(G40:G41),1)</f>
        <v>130.19999999999999</v>
      </c>
      <c r="H42" s="1042"/>
      <c r="I42" s="517">
        <f>ROUND(SUM(I40-I41),1)</f>
        <v>68.2</v>
      </c>
      <c r="J42" s="1595"/>
      <c r="K42" s="517">
        <f>ROUND(SUM(K40-K41),1)</f>
        <v>0</v>
      </c>
      <c r="L42" s="640"/>
    </row>
    <row r="43" spans="1:12" ht="15.75">
      <c r="A43" s="363"/>
      <c r="B43" s="1589"/>
      <c r="C43" s="1206"/>
      <c r="D43" s="1544"/>
      <c r="E43" s="1206"/>
      <c r="F43" s="1042"/>
      <c r="G43" s="1188"/>
      <c r="H43" s="1042"/>
      <c r="I43" s="1609"/>
      <c r="J43" s="1590"/>
      <c r="K43" s="1609"/>
      <c r="L43" s="640"/>
    </row>
    <row r="44" spans="1:12" ht="15.75">
      <c r="A44" s="216" t="s">
        <v>102</v>
      </c>
      <c r="B44" s="1589"/>
      <c r="C44" s="1544"/>
      <c r="D44" s="1544"/>
      <c r="E44" s="1544"/>
      <c r="F44" s="1042"/>
      <c r="G44" s="1042"/>
      <c r="H44" s="1042"/>
      <c r="I44" s="1608"/>
      <c r="J44" s="1438"/>
      <c r="K44" s="1608"/>
      <c r="L44" s="640"/>
    </row>
    <row r="45" spans="1:12" ht="15" customHeight="1">
      <c r="A45" s="216" t="s">
        <v>103</v>
      </c>
      <c r="B45" s="1589"/>
      <c r="C45" s="1544"/>
      <c r="D45" s="1544"/>
      <c r="E45" s="1544"/>
      <c r="F45" s="1042"/>
      <c r="G45" s="1042"/>
      <c r="H45" s="1042"/>
      <c r="I45" s="1608"/>
      <c r="J45" s="1438"/>
      <c r="K45" s="1608"/>
      <c r="L45" s="640"/>
    </row>
    <row r="46" spans="1:12" ht="15.75">
      <c r="A46" s="363" t="s">
        <v>104</v>
      </c>
      <c r="B46" s="364" t="s">
        <v>15</v>
      </c>
      <c r="C46" s="304">
        <f>ROUND(SUM(C26)-SUM(C34)+C42,1)</f>
        <v>1880</v>
      </c>
      <c r="D46" s="1853"/>
      <c r="E46" s="304">
        <f>ROUND(SUM(E26)-SUM(E34)+E42,1)</f>
        <v>0</v>
      </c>
      <c r="F46" s="273"/>
      <c r="G46" s="264">
        <f>ROUND(SUM(G26)-SUM(G34)+G42,1)</f>
        <v>1780.6</v>
      </c>
      <c r="H46" s="273"/>
      <c r="I46" s="264">
        <f>ROUND(SUM(I26)-SUM(I34)+I42,1)</f>
        <v>-99.4</v>
      </c>
      <c r="J46" s="356"/>
      <c r="K46" s="264">
        <f>ROUND(SUM(K26)-SUM(K34)+K42,1)</f>
        <v>0</v>
      </c>
      <c r="L46" s="640"/>
    </row>
    <row r="47" spans="1:12">
      <c r="A47" s="1596"/>
      <c r="B47" s="1021"/>
      <c r="C47" s="2383"/>
      <c r="D47" s="2748"/>
      <c r="E47" s="2383"/>
      <c r="F47" s="1597"/>
      <c r="G47" s="1131"/>
      <c r="H47" s="1597"/>
      <c r="I47" s="1131"/>
      <c r="J47" s="1598"/>
      <c r="K47" s="1131"/>
      <c r="L47" s="640"/>
    </row>
    <row r="48" spans="1:12" ht="15.75">
      <c r="A48" s="363" t="str">
        <f>'Exh D-Governmental  '!A49</f>
        <v>Fund Balances (Deficits) at April 1</v>
      </c>
      <c r="B48" s="1599" t="s">
        <v>15</v>
      </c>
      <c r="C48" s="304">
        <f>'Exh D General Fund  '!C49+'Exh D Special Revenue State Fed'!C41+'Exh D Debt Service'!C38</f>
        <v>13607</v>
      </c>
      <c r="D48" s="2748"/>
      <c r="E48" s="304">
        <v>0</v>
      </c>
      <c r="F48" s="1597"/>
      <c r="G48" s="264">
        <f>'Exh A Supp'!T59</f>
        <v>13606.6</v>
      </c>
      <c r="H48" s="1597"/>
      <c r="I48" s="1461">
        <f>ROUND(SUM(G48)-SUM(C48),1)</f>
        <v>-0.4</v>
      </c>
      <c r="J48" s="356"/>
      <c r="K48" s="2503">
        <v>0</v>
      </c>
      <c r="L48" s="640"/>
    </row>
    <row r="49" spans="1:12" ht="16.5" thickBot="1">
      <c r="A49" s="363" t="str">
        <f>'Exh D-Governmental  '!A50</f>
        <v>Fund Balances (Deficits) at April 30, 2018</v>
      </c>
      <c r="B49" s="370" t="s">
        <v>15</v>
      </c>
      <c r="C49" s="2384">
        <f>ROUND(SUM(C46:C48),1)</f>
        <v>15487</v>
      </c>
      <c r="D49" s="3390"/>
      <c r="E49" s="2384">
        <f>ROUND(SUM(E46:E48),1)</f>
        <v>0</v>
      </c>
      <c r="F49" s="371"/>
      <c r="G49" s="287">
        <f>ROUND(SUM(G46:G48),1)</f>
        <v>15387.2</v>
      </c>
      <c r="H49" s="1675"/>
      <c r="I49" s="287">
        <f>ROUND(SUM(I46:I48),1)</f>
        <v>-99.8</v>
      </c>
      <c r="J49" s="372"/>
      <c r="K49" s="287">
        <f>ROUND(SUM(K46:K48),1)</f>
        <v>0</v>
      </c>
      <c r="L49" s="640"/>
    </row>
    <row r="50" spans="1:12" ht="15.75" thickTop="1">
      <c r="A50" s="1596"/>
      <c r="B50" s="1021"/>
      <c r="C50" s="3224"/>
      <c r="D50" s="1616"/>
      <c r="E50" s="3224"/>
      <c r="F50" s="1600"/>
      <c r="G50" s="1600"/>
      <c r="H50" s="1600"/>
      <c r="I50" s="1600"/>
      <c r="J50" s="1600"/>
      <c r="K50" s="1600"/>
    </row>
    <row r="51" spans="1:12">
      <c r="A51" s="1601" t="str">
        <f>'Exh D-Governmental  '!A52</f>
        <v>(*)    Source: 2018-19 Enacted Financial Plan dated May 11, 2018.</v>
      </c>
      <c r="I51" s="1979"/>
      <c r="K51" s="1979"/>
    </row>
    <row r="52" spans="1:12">
      <c r="A52" s="999" t="s">
        <v>1489</v>
      </c>
    </row>
    <row r="53" spans="1:12">
      <c r="A53" s="999" t="s">
        <v>1318</v>
      </c>
      <c r="G53" s="1979"/>
    </row>
    <row r="54" spans="1:12">
      <c r="A54" s="2391" t="s">
        <v>1490</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8"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70" workbookViewId="0"/>
  </sheetViews>
  <sheetFormatPr defaultColWidth="8.88671875" defaultRowHeight="15"/>
  <cols>
    <col min="1" max="1" width="59" style="1596" customWidth="1"/>
    <col min="2" max="2" width="2" style="1021" customWidth="1"/>
    <col min="3" max="3" width="15.33203125" style="732" customWidth="1"/>
    <col min="4" max="4" width="4.77734375" style="1600" customWidth="1"/>
    <col min="5" max="5" width="15.33203125" style="732" customWidth="1"/>
    <col min="6" max="6" width="4.77734375" style="1600" customWidth="1"/>
    <col min="7" max="7" width="15.33203125" style="1600" customWidth="1"/>
    <col min="8" max="8" width="5.33203125" style="1600" customWidth="1"/>
    <col min="9" max="9" width="15.33203125" style="1600" customWidth="1"/>
    <col min="10" max="10" width="2.44140625" style="1600" customWidth="1"/>
    <col min="11" max="11" width="12.77734375" style="1021" customWidth="1"/>
    <col min="12" max="12" width="18.109375" style="732" bestFit="1" customWidth="1"/>
    <col min="13" max="13" width="2.6640625" style="1600" customWidth="1"/>
    <col min="14" max="14" width="14.33203125" style="1600" customWidth="1"/>
    <col min="15" max="15" width="2.6640625" style="1600" customWidth="1"/>
    <col min="16" max="16" width="15.6640625" style="1600" bestFit="1" customWidth="1"/>
    <col min="17" max="17" width="2" style="1021" customWidth="1"/>
    <col min="18" max="18" width="11.88671875" style="1021" customWidth="1"/>
    <col min="19" max="19" width="11.44140625" style="1021" customWidth="1"/>
    <col min="20" max="20" width="1.88671875" style="1021" customWidth="1"/>
    <col min="21" max="21" width="11.6640625" style="1021" customWidth="1"/>
    <col min="22" max="22" width="2.109375" style="1021" customWidth="1"/>
    <col min="23" max="23" width="11.44140625" style="1021" customWidth="1"/>
    <col min="24" max="24" width="0.5546875" style="1021" customWidth="1"/>
    <col min="25" max="25" width="2.33203125" style="1021" customWidth="1"/>
    <col min="26" max="26" width="10.5546875" style="1021" customWidth="1"/>
    <col min="27" max="27" width="11.109375" style="1021" customWidth="1"/>
    <col min="28" max="28" width="2.21875" style="1021" customWidth="1"/>
    <col min="29" max="29" width="11.109375" style="1021" customWidth="1"/>
    <col min="30" max="30" width="2.109375" style="1021" customWidth="1"/>
    <col min="31" max="31" width="12.44140625" style="1021" customWidth="1"/>
    <col min="32" max="36" width="8.88671875" style="1021"/>
    <col min="37" max="37" width="8.88671875" style="1600"/>
    <col min="38" max="16384" width="8.88671875" style="1596"/>
  </cols>
  <sheetData>
    <row r="1" spans="1:31">
      <c r="A1" s="1602" t="s">
        <v>1064</v>
      </c>
      <c r="B1" s="376"/>
      <c r="C1" s="726"/>
      <c r="D1" s="377"/>
      <c r="E1" s="726"/>
      <c r="F1" s="377"/>
      <c r="G1" s="377"/>
      <c r="H1" s="377"/>
      <c r="I1" s="377"/>
      <c r="J1" s="377"/>
      <c r="K1" s="376"/>
      <c r="L1" s="726"/>
      <c r="M1" s="377"/>
      <c r="N1" s="377"/>
      <c r="O1" s="377"/>
      <c r="P1" s="377"/>
      <c r="Q1" s="377"/>
      <c r="R1" s="376"/>
      <c r="S1" s="376"/>
      <c r="T1" s="376"/>
      <c r="U1" s="376"/>
      <c r="V1" s="376"/>
      <c r="W1" s="376"/>
      <c r="X1" s="376"/>
      <c r="Y1" s="376"/>
      <c r="Z1" s="376"/>
      <c r="AA1" s="376"/>
      <c r="AB1" s="376"/>
      <c r="AC1" s="376"/>
      <c r="AD1" s="376"/>
      <c r="AE1" s="376"/>
    </row>
    <row r="2" spans="1:31" ht="17.25" customHeight="1">
      <c r="A2" s="378"/>
      <c r="B2" s="379"/>
      <c r="C2" s="727"/>
      <c r="D2" s="377"/>
      <c r="E2" s="727"/>
      <c r="F2" s="377"/>
      <c r="G2" s="377"/>
      <c r="H2" s="377"/>
      <c r="I2" s="377"/>
      <c r="J2" s="377"/>
      <c r="K2" s="376"/>
      <c r="L2" s="726"/>
      <c r="M2" s="377"/>
      <c r="N2" s="380"/>
      <c r="O2" s="377"/>
      <c r="P2" s="377"/>
      <c r="Q2" s="377"/>
      <c r="R2" s="376"/>
      <c r="S2" s="376"/>
      <c r="T2" s="376"/>
      <c r="U2" s="376"/>
      <c r="V2" s="376"/>
      <c r="W2" s="376"/>
      <c r="X2" s="376"/>
      <c r="Y2" s="376"/>
      <c r="Z2" s="376"/>
      <c r="AA2" s="376"/>
      <c r="AB2" s="376"/>
      <c r="AC2" s="376"/>
      <c r="AD2" s="376"/>
      <c r="AE2" s="376"/>
    </row>
    <row r="3" spans="1:31" ht="21" customHeight="1">
      <c r="A3" s="381" t="s">
        <v>0</v>
      </c>
      <c r="B3" s="338"/>
      <c r="C3" s="728"/>
      <c r="D3" s="332"/>
      <c r="E3" s="728"/>
      <c r="F3" s="332"/>
      <c r="G3" s="332"/>
      <c r="H3" s="332"/>
      <c r="I3" s="1452"/>
      <c r="K3" s="1452" t="s">
        <v>85</v>
      </c>
      <c r="L3" s="729"/>
      <c r="M3" s="332"/>
      <c r="N3" s="332"/>
      <c r="O3" s="332"/>
      <c r="Q3" s="332"/>
      <c r="R3" s="346"/>
      <c r="S3" s="346"/>
      <c r="T3" s="346"/>
      <c r="U3" s="346"/>
      <c r="V3" s="346"/>
      <c r="W3" s="346"/>
      <c r="X3" s="346"/>
      <c r="Y3" s="346"/>
      <c r="Z3" s="346"/>
      <c r="AA3" s="346"/>
      <c r="AB3" s="346"/>
      <c r="AC3" s="346"/>
      <c r="AD3" s="346"/>
      <c r="AE3" s="382"/>
    </row>
    <row r="4" spans="1:31" ht="18">
      <c r="A4" s="381" t="s">
        <v>84</v>
      </c>
      <c r="B4" s="338"/>
      <c r="C4" s="728"/>
      <c r="D4" s="332"/>
      <c r="E4" s="728"/>
      <c r="F4" s="332"/>
      <c r="G4" s="332"/>
      <c r="H4" s="332"/>
      <c r="I4" s="1453"/>
      <c r="K4" s="1453"/>
      <c r="L4" s="729"/>
      <c r="M4" s="332"/>
      <c r="N4" s="332"/>
      <c r="O4" s="332"/>
      <c r="Q4" s="332"/>
      <c r="R4" s="346"/>
      <c r="S4" s="346"/>
      <c r="T4" s="346"/>
      <c r="U4" s="346"/>
      <c r="V4" s="346"/>
      <c r="W4" s="346"/>
      <c r="X4" s="346"/>
      <c r="Y4" s="346"/>
      <c r="Z4" s="346"/>
      <c r="AA4" s="346"/>
      <c r="AB4" s="346"/>
      <c r="AC4" s="346"/>
      <c r="AD4" s="346"/>
      <c r="AE4" s="346"/>
    </row>
    <row r="5" spans="1:31" ht="21.75" customHeight="1">
      <c r="A5" s="3744" t="str">
        <f>'Exh D-Governmental  '!A5:E5</f>
        <v>FISCAL YEAR 2018-2019</v>
      </c>
      <c r="B5" s="3745"/>
      <c r="C5" s="3745"/>
      <c r="D5" s="3745"/>
      <c r="E5" s="3745"/>
      <c r="F5" s="332"/>
      <c r="G5" s="1438"/>
      <c r="H5" s="332"/>
      <c r="I5" s="332"/>
      <c r="J5" s="332"/>
      <c r="K5" s="346"/>
      <c r="L5" s="729"/>
      <c r="M5" s="332"/>
      <c r="N5" s="332"/>
      <c r="O5" s="332"/>
      <c r="Q5" s="332"/>
      <c r="R5" s="346"/>
      <c r="S5" s="346"/>
      <c r="T5" s="346"/>
      <c r="U5" s="346"/>
      <c r="V5" s="346"/>
      <c r="W5" s="346"/>
      <c r="X5" s="346"/>
      <c r="Y5" s="346"/>
      <c r="Z5" s="346"/>
      <c r="AA5" s="346"/>
      <c r="AB5" s="346"/>
      <c r="AC5" s="346"/>
      <c r="AD5" s="346"/>
      <c r="AE5" s="346"/>
    </row>
    <row r="6" spans="1:31" ht="17.25" customHeight="1">
      <c r="A6" s="2365" t="str">
        <f>'Exh D-Governmental  '!A6</f>
        <v>FOR ONE MONTH ENDED APRIL 30, 2018</v>
      </c>
      <c r="B6" s="337"/>
      <c r="C6" s="728"/>
      <c r="D6" s="332"/>
      <c r="E6" s="728"/>
      <c r="F6" s="332"/>
      <c r="G6" s="332"/>
      <c r="H6" s="332"/>
      <c r="I6" s="332"/>
      <c r="J6" s="332"/>
      <c r="K6" s="346"/>
      <c r="L6" s="729"/>
      <c r="M6" s="332"/>
      <c r="N6" s="332"/>
      <c r="O6" s="332"/>
      <c r="P6" s="332"/>
      <c r="Q6" s="332"/>
      <c r="R6" s="346"/>
      <c r="S6" s="346"/>
      <c r="T6" s="346"/>
      <c r="U6" s="346"/>
      <c r="V6" s="346"/>
      <c r="W6" s="346"/>
      <c r="X6" s="346"/>
      <c r="Y6" s="346"/>
      <c r="Z6" s="346"/>
      <c r="AA6" s="346"/>
      <c r="AB6" s="346"/>
      <c r="AC6" s="346"/>
      <c r="AD6" s="346"/>
      <c r="AE6" s="346"/>
    </row>
    <row r="7" spans="1:31" ht="18">
      <c r="A7" s="381" t="s">
        <v>958</v>
      </c>
      <c r="B7" s="338"/>
      <c r="C7" s="728"/>
      <c r="D7" s="332"/>
      <c r="E7" s="728"/>
      <c r="F7" s="332"/>
      <c r="G7" s="332"/>
      <c r="H7" s="332"/>
      <c r="I7" s="332"/>
      <c r="J7" s="332"/>
      <c r="K7" s="346"/>
      <c r="L7" s="729"/>
      <c r="M7" s="332"/>
      <c r="N7" s="332"/>
      <c r="O7" s="332"/>
      <c r="P7" s="332"/>
      <c r="Q7" s="332"/>
      <c r="R7" s="346"/>
      <c r="S7" s="346"/>
      <c r="T7" s="346"/>
      <c r="U7" s="346"/>
      <c r="V7" s="346"/>
      <c r="W7" s="346"/>
      <c r="X7" s="346"/>
      <c r="Y7" s="346"/>
      <c r="Z7" s="346"/>
      <c r="AA7" s="346"/>
      <c r="AB7" s="346"/>
      <c r="AC7" s="346"/>
      <c r="AD7" s="346"/>
      <c r="AE7" s="346"/>
    </row>
    <row r="8" spans="1:31" ht="15" customHeight="1">
      <c r="A8" s="383"/>
      <c r="B8" s="337"/>
      <c r="C8" s="728"/>
      <c r="D8" s="332"/>
      <c r="E8" s="728"/>
      <c r="F8" s="332"/>
      <c r="G8" s="332"/>
      <c r="H8" s="332"/>
      <c r="I8" s="332"/>
      <c r="J8" s="332"/>
      <c r="K8" s="346"/>
      <c r="L8" s="729"/>
      <c r="M8" s="332"/>
      <c r="N8" s="332"/>
      <c r="O8" s="332"/>
      <c r="P8" s="332"/>
      <c r="Q8" s="332"/>
      <c r="R8" s="346"/>
      <c r="S8" s="346"/>
      <c r="T8" s="346"/>
      <c r="U8" s="346"/>
      <c r="V8" s="346"/>
      <c r="W8" s="346"/>
      <c r="X8" s="346"/>
      <c r="Y8" s="346"/>
      <c r="Z8" s="346"/>
      <c r="AA8" s="346"/>
      <c r="AB8" s="346"/>
      <c r="AC8" s="346"/>
      <c r="AD8" s="346"/>
      <c r="AE8" s="346"/>
    </row>
    <row r="9" spans="1:31">
      <c r="A9" s="340"/>
      <c r="B9" s="346"/>
      <c r="C9" s="729"/>
      <c r="D9" s="332"/>
      <c r="E9" s="729"/>
      <c r="F9" s="332"/>
      <c r="G9" s="332"/>
      <c r="H9" s="332"/>
      <c r="I9" s="332"/>
      <c r="J9" s="332"/>
      <c r="K9" s="346"/>
      <c r="L9" s="729"/>
      <c r="M9" s="332"/>
      <c r="N9" s="332"/>
      <c r="O9" s="332"/>
      <c r="P9" s="332"/>
      <c r="Q9" s="332"/>
      <c r="R9" s="346"/>
      <c r="S9" s="346"/>
      <c r="T9" s="346"/>
      <c r="U9" s="346"/>
      <c r="V9" s="346"/>
      <c r="W9" s="346"/>
      <c r="X9" s="346"/>
      <c r="Y9" s="346"/>
      <c r="Z9" s="346"/>
      <c r="AA9" s="346"/>
      <c r="AB9" s="346"/>
      <c r="AC9" s="346"/>
      <c r="AD9" s="346"/>
      <c r="AE9" s="346"/>
    </row>
    <row r="10" spans="1:31">
      <c r="A10" s="340"/>
      <c r="B10" s="346"/>
      <c r="C10" s="729"/>
      <c r="D10" s="332"/>
      <c r="E10" s="729"/>
      <c r="F10" s="332"/>
      <c r="G10" s="332"/>
      <c r="H10" s="332"/>
      <c r="I10" s="332"/>
      <c r="J10" s="332"/>
      <c r="K10" s="346"/>
      <c r="L10" s="1664"/>
      <c r="M10" s="337"/>
      <c r="N10" s="337"/>
      <c r="O10" s="337"/>
      <c r="P10" s="337"/>
      <c r="Q10" s="332"/>
      <c r="R10" s="346"/>
      <c r="S10" s="346"/>
      <c r="T10" s="346"/>
      <c r="U10" s="346"/>
      <c r="V10" s="346"/>
      <c r="W10" s="346"/>
      <c r="X10" s="346"/>
      <c r="Y10" s="346"/>
      <c r="Z10" s="346"/>
      <c r="AA10" s="346"/>
      <c r="AB10" s="346"/>
      <c r="AC10" s="346"/>
      <c r="AD10" s="346"/>
      <c r="AE10" s="346"/>
    </row>
    <row r="11" spans="1:31" ht="15.75">
      <c r="A11" s="1212"/>
      <c r="C11" s="3746" t="s">
        <v>1247</v>
      </c>
      <c r="D11" s="3746"/>
      <c r="E11" s="3746"/>
      <c r="F11" s="3746"/>
      <c r="G11" s="3746"/>
      <c r="H11" s="3746"/>
      <c r="I11" s="3746"/>
      <c r="J11" s="1982"/>
      <c r="K11" s="1983"/>
      <c r="L11" s="733"/>
      <c r="M11" s="386"/>
      <c r="N11" s="386"/>
      <c r="O11" s="386"/>
      <c r="P11" s="386"/>
      <c r="Q11" s="341"/>
      <c r="R11" s="384"/>
      <c r="S11" s="384"/>
      <c r="T11" s="384"/>
      <c r="U11" s="384"/>
      <c r="V11" s="384"/>
      <c r="W11" s="384"/>
      <c r="X11" s="384"/>
      <c r="Y11" s="341"/>
      <c r="Z11" s="384"/>
      <c r="AA11" s="385"/>
      <c r="AB11" s="384"/>
      <c r="AC11" s="384"/>
      <c r="AD11" s="384"/>
      <c r="AE11" s="384"/>
    </row>
    <row r="12" spans="1:31" ht="15.75">
      <c r="A12" s="1212"/>
      <c r="C12" s="730"/>
      <c r="D12" s="386"/>
      <c r="E12" s="730"/>
      <c r="F12" s="386"/>
      <c r="G12" s="387"/>
      <c r="H12" s="386"/>
      <c r="I12" s="386" t="s">
        <v>86</v>
      </c>
      <c r="J12" s="384"/>
      <c r="K12" s="386" t="s">
        <v>86</v>
      </c>
      <c r="L12" s="733"/>
      <c r="M12" s="386"/>
      <c r="N12" s="387"/>
      <c r="O12" s="386"/>
      <c r="P12" s="386"/>
      <c r="Q12" s="341"/>
      <c r="R12" s="384"/>
      <c r="S12" s="384"/>
      <c r="T12" s="384"/>
      <c r="U12" s="384"/>
      <c r="V12" s="384"/>
      <c r="W12" s="384"/>
      <c r="X12" s="384"/>
      <c r="Y12" s="341"/>
      <c r="Z12" s="384"/>
      <c r="AA12" s="385"/>
      <c r="AB12" s="384"/>
      <c r="AC12" s="384"/>
      <c r="AD12" s="384"/>
      <c r="AE12" s="384"/>
    </row>
    <row r="13" spans="1:31" ht="15.75">
      <c r="A13" s="1212"/>
      <c r="B13" s="341"/>
      <c r="C13" s="731"/>
      <c r="D13" s="388"/>
      <c r="E13" s="731"/>
      <c r="F13" s="388"/>
      <c r="G13" s="388"/>
      <c r="H13" s="388"/>
      <c r="I13" s="389" t="s">
        <v>965</v>
      </c>
      <c r="J13" s="391"/>
      <c r="K13" s="389" t="s">
        <v>965</v>
      </c>
      <c r="L13" s="1665"/>
      <c r="M13" s="1666"/>
      <c r="N13" s="1666"/>
      <c r="O13" s="1666"/>
      <c r="P13" s="1667"/>
      <c r="Q13" s="341"/>
      <c r="R13" s="341"/>
      <c r="S13" s="341"/>
      <c r="T13" s="341"/>
      <c r="U13" s="341"/>
      <c r="V13" s="341"/>
      <c r="W13" s="390"/>
      <c r="X13" s="391"/>
      <c r="Y13" s="341"/>
      <c r="Z13" s="341"/>
      <c r="AA13" s="341"/>
      <c r="AB13" s="341"/>
      <c r="AC13" s="341"/>
      <c r="AD13" s="341"/>
      <c r="AE13" s="390"/>
    </row>
    <row r="14" spans="1:31" ht="15.75">
      <c r="A14" s="1212"/>
      <c r="B14" s="392"/>
      <c r="C14" s="344" t="s">
        <v>1190</v>
      </c>
      <c r="D14" s="1596"/>
      <c r="E14" s="343" t="s">
        <v>1191</v>
      </c>
      <c r="F14" s="342"/>
      <c r="G14" s="342"/>
      <c r="H14" s="342"/>
      <c r="I14" s="343" t="s">
        <v>87</v>
      </c>
      <c r="J14" s="391"/>
      <c r="K14" s="343" t="s">
        <v>87</v>
      </c>
      <c r="L14" s="1668"/>
      <c r="M14" s="341"/>
      <c r="N14" s="341"/>
      <c r="O14" s="341"/>
      <c r="P14" s="391"/>
      <c r="Q14" s="341"/>
      <c r="R14" s="390"/>
      <c r="S14" s="391"/>
      <c r="T14" s="341"/>
      <c r="U14" s="341"/>
      <c r="V14" s="341"/>
      <c r="W14" s="390"/>
      <c r="X14" s="391"/>
      <c r="Y14" s="341"/>
      <c r="Z14" s="390"/>
      <c r="AA14" s="391"/>
      <c r="AB14" s="341"/>
      <c r="AC14" s="341"/>
      <c r="AD14" s="341"/>
      <c r="AE14" s="390"/>
    </row>
    <row r="15" spans="1:31" ht="15.75">
      <c r="A15" s="1212"/>
      <c r="B15" s="392"/>
      <c r="C15" s="343" t="s">
        <v>1232</v>
      </c>
      <c r="D15" s="342"/>
      <c r="E15" s="343" t="s">
        <v>1232</v>
      </c>
      <c r="F15" s="342"/>
      <c r="G15" s="342"/>
      <c r="H15" s="342"/>
      <c r="I15" s="343" t="s">
        <v>1190</v>
      </c>
      <c r="J15" s="391"/>
      <c r="K15" s="343" t="s">
        <v>1191</v>
      </c>
      <c r="L15" s="1668"/>
      <c r="M15" s="341"/>
      <c r="N15" s="341"/>
      <c r="O15" s="341"/>
      <c r="P15" s="391"/>
      <c r="Q15" s="341"/>
      <c r="R15" s="390"/>
      <c r="S15" s="391"/>
      <c r="T15" s="341"/>
      <c r="U15" s="341"/>
      <c r="V15" s="341"/>
      <c r="W15" s="390"/>
      <c r="X15" s="391"/>
      <c r="Y15" s="341"/>
      <c r="Z15" s="390"/>
      <c r="AA15" s="391"/>
      <c r="AB15" s="341"/>
      <c r="AC15" s="341"/>
      <c r="AD15" s="341"/>
      <c r="AE15" s="390"/>
    </row>
    <row r="16" spans="1:31" ht="15.75">
      <c r="A16" s="1212"/>
      <c r="B16" s="391"/>
      <c r="C16" s="343" t="s">
        <v>1233</v>
      </c>
      <c r="D16" s="342"/>
      <c r="E16" s="343" t="s">
        <v>1488</v>
      </c>
      <c r="F16" s="342"/>
      <c r="G16" s="344" t="s">
        <v>86</v>
      </c>
      <c r="H16" s="342"/>
      <c r="I16" s="343" t="s">
        <v>88</v>
      </c>
      <c r="J16" s="391"/>
      <c r="K16" s="343" t="s">
        <v>88</v>
      </c>
      <c r="L16" s="390"/>
      <c r="M16" s="341"/>
      <c r="N16" s="390"/>
      <c r="O16" s="341"/>
      <c r="P16" s="391"/>
      <c r="Q16" s="341"/>
      <c r="R16" s="391"/>
      <c r="S16" s="391"/>
      <c r="T16" s="341"/>
      <c r="U16" s="390"/>
      <c r="V16" s="341"/>
      <c r="W16" s="390"/>
      <c r="X16" s="391"/>
      <c r="Y16" s="341"/>
      <c r="Z16" s="391"/>
      <c r="AA16" s="391"/>
      <c r="AB16" s="341"/>
      <c r="AC16" s="390"/>
      <c r="AD16" s="341"/>
      <c r="AE16" s="390"/>
    </row>
    <row r="17" spans="1:31">
      <c r="A17" s="345"/>
      <c r="B17" s="346"/>
      <c r="C17" s="347"/>
      <c r="D17" s="332"/>
      <c r="E17" s="347"/>
      <c r="F17" s="332"/>
      <c r="G17" s="347"/>
      <c r="H17" s="332"/>
      <c r="I17" s="347"/>
      <c r="J17" s="346"/>
      <c r="K17" s="347"/>
      <c r="L17" s="346"/>
      <c r="M17" s="346"/>
      <c r="N17" s="346"/>
      <c r="O17" s="346"/>
      <c r="P17" s="346"/>
      <c r="Q17" s="346"/>
      <c r="R17" s="346"/>
      <c r="S17" s="346"/>
      <c r="T17" s="346"/>
      <c r="U17" s="346"/>
      <c r="V17" s="346"/>
      <c r="W17" s="346"/>
      <c r="X17" s="346"/>
      <c r="Y17" s="346"/>
      <c r="Z17" s="346"/>
      <c r="AA17" s="346"/>
      <c r="AB17" s="346"/>
      <c r="AC17" s="346"/>
      <c r="AD17" s="346"/>
      <c r="AE17" s="346"/>
    </row>
    <row r="18" spans="1:31" ht="15.75">
      <c r="A18" s="216" t="s">
        <v>14</v>
      </c>
      <c r="B18" s="1589"/>
      <c r="C18" s="1115"/>
      <c r="D18" s="1115"/>
      <c r="E18" s="1115"/>
      <c r="F18" s="1115"/>
      <c r="G18" s="1115"/>
      <c r="H18" s="1115"/>
      <c r="I18" s="1115"/>
      <c r="J18" s="1589"/>
      <c r="K18" s="1589"/>
      <c r="L18" s="1589"/>
      <c r="M18" s="1589"/>
      <c r="N18" s="1589"/>
      <c r="O18" s="1589"/>
      <c r="P18" s="1589"/>
      <c r="Q18" s="1589"/>
      <c r="R18" s="1589"/>
      <c r="S18" s="1589"/>
      <c r="T18" s="1589"/>
      <c r="U18" s="1589"/>
      <c r="V18" s="1589"/>
      <c r="W18" s="1589"/>
      <c r="X18" s="1589"/>
      <c r="Y18" s="1589"/>
      <c r="Z18" s="1589"/>
      <c r="AA18" s="1589"/>
      <c r="AB18" s="1589"/>
      <c r="AC18" s="1589"/>
      <c r="AD18" s="1589"/>
      <c r="AE18" s="1589"/>
    </row>
    <row r="19" spans="1:31">
      <c r="A19" s="1443" t="s">
        <v>89</v>
      </c>
      <c r="B19" s="1590"/>
      <c r="C19" s="1115"/>
      <c r="D19" s="1590"/>
      <c r="E19" s="1115"/>
      <c r="F19" s="1590"/>
      <c r="G19" s="1115"/>
      <c r="H19" s="1590"/>
      <c r="I19" s="1115"/>
      <c r="J19" s="1589"/>
      <c r="K19" s="1589"/>
      <c r="L19" s="1589"/>
      <c r="M19" s="1589"/>
      <c r="N19" s="1589"/>
      <c r="O19" s="1610"/>
      <c r="P19" s="1589"/>
      <c r="Q19" s="1589"/>
      <c r="R19" s="1589"/>
      <c r="S19" s="1589"/>
      <c r="T19" s="1589"/>
      <c r="U19" s="1589"/>
      <c r="V19" s="1589"/>
      <c r="W19" s="1589"/>
      <c r="X19" s="1589"/>
      <c r="Y19" s="1589"/>
      <c r="Z19" s="1589"/>
      <c r="AA19" s="1589"/>
      <c r="AB19" s="1589"/>
      <c r="AC19" s="1589"/>
      <c r="AD19" s="1589"/>
      <c r="AE19" s="1589"/>
    </row>
    <row r="20" spans="1:31">
      <c r="A20" s="1443" t="s">
        <v>90</v>
      </c>
      <c r="B20" s="1590" t="s">
        <v>15</v>
      </c>
      <c r="C20" s="3386">
        <v>2948</v>
      </c>
      <c r="D20" s="1542"/>
      <c r="E20" s="3386">
        <v>0</v>
      </c>
      <c r="F20" s="1118"/>
      <c r="G20" s="1116">
        <f>+'Exhibit F'!AC28</f>
        <v>2928.1</v>
      </c>
      <c r="H20" s="1118"/>
      <c r="I20" s="1116">
        <f t="shared" ref="I20:I25" si="0">ROUND(SUM(G20)-SUM(C20),1)</f>
        <v>-19.899999999999999</v>
      </c>
      <c r="J20" s="1589"/>
      <c r="K20" s="1116">
        <v>0</v>
      </c>
      <c r="L20" s="1669"/>
      <c r="M20" s="1669"/>
      <c r="N20" s="1670"/>
      <c r="O20" s="1669"/>
      <c r="P20" s="1671"/>
      <c r="Q20" s="1589"/>
      <c r="R20" s="1589"/>
      <c r="S20" s="1589"/>
      <c r="T20" s="1589"/>
      <c r="U20" s="1589"/>
      <c r="V20" s="1589"/>
      <c r="W20" s="1589"/>
      <c r="X20" s="1589"/>
      <c r="Y20" s="1589"/>
      <c r="Z20" s="1589"/>
      <c r="AA20" s="1589"/>
      <c r="AB20" s="1589"/>
      <c r="AC20" s="1589"/>
      <c r="AD20" s="1589"/>
      <c r="AE20" s="1589"/>
    </row>
    <row r="21" spans="1:31">
      <c r="A21" s="1443" t="s">
        <v>91</v>
      </c>
      <c r="B21" s="1589" t="s">
        <v>15</v>
      </c>
      <c r="C21" s="1894">
        <v>541</v>
      </c>
      <c r="D21" s="1544"/>
      <c r="E21" s="1894">
        <v>0</v>
      </c>
      <c r="F21" s="1042"/>
      <c r="G21" s="1544">
        <f>+'Exhibit F'!AC37</f>
        <v>543.79999999999995</v>
      </c>
      <c r="H21" s="1042"/>
      <c r="I21" s="1042">
        <f t="shared" si="0"/>
        <v>2.8</v>
      </c>
      <c r="J21" s="1589"/>
      <c r="K21" s="2502">
        <v>0</v>
      </c>
      <c r="L21" s="1672"/>
      <c r="M21" s="1608"/>
      <c r="N21" s="1608"/>
      <c r="O21" s="1608"/>
      <c r="P21" s="1608"/>
      <c r="Q21" s="1608"/>
      <c r="R21" s="1608"/>
      <c r="S21" s="1589"/>
      <c r="T21" s="1589"/>
      <c r="U21" s="1589"/>
      <c r="V21" s="1589"/>
      <c r="W21" s="1589"/>
      <c r="X21" s="1589"/>
      <c r="Y21" s="1589"/>
      <c r="Z21" s="1589"/>
      <c r="AA21" s="1589"/>
      <c r="AB21" s="1589"/>
      <c r="AC21" s="1589"/>
      <c r="AD21" s="1589"/>
      <c r="AE21" s="1589"/>
    </row>
    <row r="22" spans="1:31">
      <c r="A22" s="1443" t="s">
        <v>92</v>
      </c>
      <c r="B22" s="1590" t="s">
        <v>15</v>
      </c>
      <c r="C22" s="1894">
        <v>378</v>
      </c>
      <c r="D22" s="1206"/>
      <c r="E22" s="1894">
        <v>0</v>
      </c>
      <c r="F22" s="1188"/>
      <c r="G22" s="1597">
        <f>+'Exhibit F'!AC44</f>
        <v>345.5</v>
      </c>
      <c r="H22" s="1188"/>
      <c r="I22" s="1042">
        <f t="shared" si="0"/>
        <v>-32.5</v>
      </c>
      <c r="J22" s="1589"/>
      <c r="K22" s="2502">
        <v>0</v>
      </c>
      <c r="L22" s="1672"/>
      <c r="M22" s="1609"/>
      <c r="N22" s="1608"/>
      <c r="O22" s="1609"/>
      <c r="P22" s="1608"/>
      <c r="Q22" s="1609"/>
      <c r="R22" s="1608"/>
      <c r="S22" s="1589"/>
      <c r="T22" s="1610"/>
      <c r="U22" s="1589"/>
      <c r="V22" s="1610"/>
      <c r="W22" s="1589"/>
      <c r="X22" s="1589"/>
      <c r="Y22" s="1610"/>
      <c r="Z22" s="1589"/>
      <c r="AA22" s="1589"/>
      <c r="AB22" s="1610"/>
      <c r="AC22" s="393"/>
      <c r="AD22" s="1610"/>
      <c r="AE22" s="1589"/>
    </row>
    <row r="23" spans="1:31">
      <c r="A23" s="1443" t="s">
        <v>93</v>
      </c>
      <c r="B23" s="1589" t="s">
        <v>15</v>
      </c>
      <c r="C23" s="1894">
        <v>63</v>
      </c>
      <c r="D23" s="1544"/>
      <c r="E23" s="1894">
        <v>0</v>
      </c>
      <c r="F23" s="1042"/>
      <c r="G23" s="1544">
        <f>+'Exhibit F'!AC52</f>
        <v>51.6</v>
      </c>
      <c r="H23" s="1042"/>
      <c r="I23" s="1042">
        <f t="shared" si="0"/>
        <v>-11.4</v>
      </c>
      <c r="J23" s="1589"/>
      <c r="K23" s="2502">
        <v>0</v>
      </c>
      <c r="L23" s="1673"/>
      <c r="M23" s="1608"/>
      <c r="N23" s="1608"/>
      <c r="O23" s="1608"/>
      <c r="P23" s="1608"/>
      <c r="Q23" s="1608"/>
      <c r="R23" s="1608"/>
      <c r="S23" s="1589"/>
      <c r="T23" s="1589"/>
      <c r="U23" s="1589"/>
      <c r="V23" s="1589"/>
      <c r="W23" s="1589"/>
      <c r="X23" s="1589"/>
      <c r="Y23" s="1589"/>
      <c r="Z23" s="1589"/>
      <c r="AA23" s="1589"/>
      <c r="AB23" s="1589"/>
      <c r="AC23" s="1589"/>
      <c r="AD23" s="1589"/>
      <c r="AE23" s="1589"/>
    </row>
    <row r="24" spans="1:31" ht="15" customHeight="1">
      <c r="A24" s="1443" t="s">
        <v>20</v>
      </c>
      <c r="B24" s="1589" t="s">
        <v>15</v>
      </c>
      <c r="C24" s="1894">
        <v>207</v>
      </c>
      <c r="D24" s="3285"/>
      <c r="E24" s="1894">
        <v>0</v>
      </c>
      <c r="F24" s="1607"/>
      <c r="G24" s="1209">
        <f>+'Exhibit F'!AC92</f>
        <v>220.3</v>
      </c>
      <c r="H24" s="1042"/>
      <c r="I24" s="1042">
        <f t="shared" si="0"/>
        <v>13.3</v>
      </c>
      <c r="J24" s="1589"/>
      <c r="K24" s="2502">
        <v>0</v>
      </c>
      <c r="L24" s="1673"/>
      <c r="M24" s="1608"/>
      <c r="N24" s="1608"/>
      <c r="O24" s="1608"/>
      <c r="P24" s="1608"/>
      <c r="Q24" s="1608"/>
      <c r="R24" s="1608"/>
      <c r="S24" s="1589"/>
      <c r="T24" s="1589"/>
      <c r="U24" s="1589"/>
      <c r="V24" s="1589"/>
      <c r="W24" s="1589"/>
      <c r="X24" s="1589"/>
      <c r="Y24" s="1589"/>
      <c r="Z24" s="1589"/>
      <c r="AA24" s="1589"/>
      <c r="AB24" s="1589"/>
      <c r="AC24" s="1589"/>
      <c r="AD24" s="1589"/>
      <c r="AE24" s="1589"/>
    </row>
    <row r="25" spans="1:31" ht="15" customHeight="1">
      <c r="A25" s="1443" t="s">
        <v>21</v>
      </c>
      <c r="B25" s="1589" t="s">
        <v>15</v>
      </c>
      <c r="C25" s="1894">
        <v>0</v>
      </c>
      <c r="D25" s="1544"/>
      <c r="E25" s="1894">
        <v>0</v>
      </c>
      <c r="F25" s="1042"/>
      <c r="G25" s="1209">
        <f>+'Exhibit F'!AC94</f>
        <v>0</v>
      </c>
      <c r="H25" s="1042"/>
      <c r="I25" s="1042">
        <f t="shared" si="0"/>
        <v>0</v>
      </c>
      <c r="J25" s="1589"/>
      <c r="K25" s="2502">
        <f t="shared" ref="K25" si="1">ROUND(SUM(G25)-SUM(E25),1)</f>
        <v>0</v>
      </c>
      <c r="L25" s="1672"/>
      <c r="M25" s="1608"/>
      <c r="N25" s="1608"/>
      <c r="O25" s="1608"/>
      <c r="P25" s="1608"/>
      <c r="Q25" s="1608"/>
      <c r="R25" s="1611"/>
      <c r="S25" s="1612"/>
      <c r="T25" s="1589"/>
      <c r="U25" s="1612"/>
      <c r="V25" s="1589"/>
      <c r="W25" s="1612"/>
      <c r="X25" s="1613"/>
      <c r="Y25" s="1589"/>
      <c r="Z25" s="1589"/>
      <c r="AA25" s="1589"/>
      <c r="AB25" s="1589"/>
      <c r="AC25" s="1589"/>
      <c r="AD25" s="1589"/>
      <c r="AE25" s="1589"/>
    </row>
    <row r="26" spans="1:31" ht="18" customHeight="1">
      <c r="A26" s="1443" t="s">
        <v>107</v>
      </c>
      <c r="B26" s="1613"/>
      <c r="C26" s="1117"/>
      <c r="D26" s="1544"/>
      <c r="E26" s="1117"/>
      <c r="F26" s="1042"/>
      <c r="G26" s="3503"/>
      <c r="H26" s="1042"/>
      <c r="I26" s="1042"/>
      <c r="J26" s="1613"/>
      <c r="K26" s="2502" t="s">
        <v>15</v>
      </c>
      <c r="L26" s="1611"/>
      <c r="M26" s="1608"/>
      <c r="N26" s="1611"/>
      <c r="O26" s="1608"/>
      <c r="P26" s="1611"/>
      <c r="Q26" s="1608"/>
      <c r="R26" s="1611"/>
      <c r="S26" s="1612"/>
      <c r="T26" s="1589"/>
      <c r="U26" s="1612"/>
      <c r="V26" s="1589"/>
      <c r="W26" s="1612"/>
      <c r="X26" s="1613"/>
      <c r="Y26" s="1589"/>
      <c r="Z26" s="1589"/>
      <c r="AA26" s="1589"/>
      <c r="AB26" s="1589"/>
      <c r="AC26" s="1589"/>
      <c r="AD26" s="1589"/>
      <c r="AE26" s="1589"/>
    </row>
    <row r="27" spans="1:31">
      <c r="A27" s="1443" t="s">
        <v>1525</v>
      </c>
      <c r="B27" s="1613" t="s">
        <v>15</v>
      </c>
      <c r="C27" s="1894">
        <v>2948</v>
      </c>
      <c r="D27" s="1544"/>
      <c r="E27" s="1894">
        <v>0</v>
      </c>
      <c r="F27" s="1042"/>
      <c r="G27" s="1544">
        <f>'Exhibit F'!AC123</f>
        <v>2927.8</v>
      </c>
      <c r="H27" s="1042"/>
      <c r="I27" s="1042">
        <f>ROUND(SUM(G27)-SUM(C27),1)</f>
        <v>-20.2</v>
      </c>
      <c r="J27" s="1613"/>
      <c r="K27" s="2502">
        <v>0</v>
      </c>
      <c r="L27" s="1611"/>
      <c r="M27" s="1608"/>
      <c r="N27" s="1611"/>
      <c r="O27" s="1608"/>
      <c r="P27" s="1608"/>
      <c r="Q27" s="1608"/>
      <c r="R27" s="1611"/>
      <c r="S27" s="1612"/>
      <c r="T27" s="1589"/>
      <c r="U27" s="1612"/>
      <c r="V27" s="1589"/>
      <c r="W27" s="1612"/>
      <c r="X27" s="1613"/>
      <c r="Y27" s="1589"/>
      <c r="Z27" s="1589"/>
      <c r="AA27" s="1589"/>
      <c r="AB27" s="1589"/>
      <c r="AC27" s="1589"/>
      <c r="AD27" s="1589"/>
      <c r="AE27" s="1589"/>
    </row>
    <row r="28" spans="1:31">
      <c r="A28" s="1443" t="s">
        <v>1188</v>
      </c>
      <c r="B28" s="1613" t="s">
        <v>15</v>
      </c>
      <c r="C28" s="1894">
        <v>436</v>
      </c>
      <c r="D28" s="1544"/>
      <c r="E28" s="1894">
        <v>0</v>
      </c>
      <c r="F28" s="1042"/>
      <c r="G28" s="2515">
        <f>'Exhibit F'!AC124</f>
        <v>436</v>
      </c>
      <c r="H28" s="1042"/>
      <c r="I28" s="1042">
        <f>ROUND(SUM(G28)-SUM(C28),1)</f>
        <v>0</v>
      </c>
      <c r="J28" s="1613"/>
      <c r="K28" s="2502">
        <v>0</v>
      </c>
      <c r="L28" s="1611"/>
      <c r="M28" s="1608"/>
      <c r="N28" s="1611"/>
      <c r="O28" s="1608"/>
      <c r="P28" s="1608"/>
      <c r="Q28" s="1608"/>
      <c r="R28" s="1611"/>
      <c r="S28" s="1612"/>
      <c r="T28" s="1589"/>
      <c r="U28" s="1612"/>
      <c r="V28" s="1589"/>
      <c r="W28" s="1612"/>
      <c r="X28" s="1613"/>
      <c r="Y28" s="1589"/>
      <c r="Z28" s="1589"/>
      <c r="AA28" s="1589"/>
      <c r="AB28" s="1589"/>
      <c r="AC28" s="1589"/>
      <c r="AD28" s="1589"/>
      <c r="AE28" s="1589"/>
    </row>
    <row r="29" spans="1:31">
      <c r="A29" s="1443" t="s">
        <v>108</v>
      </c>
      <c r="B29" s="1613" t="s">
        <v>15</v>
      </c>
      <c r="C29" s="1894">
        <v>74</v>
      </c>
      <c r="D29" s="1544"/>
      <c r="E29" s="1894">
        <v>0</v>
      </c>
      <c r="F29" s="1042"/>
      <c r="G29" s="1544">
        <f>'Exhibit F'!AC125</f>
        <v>73.8</v>
      </c>
      <c r="H29" s="1042"/>
      <c r="I29" s="1042">
        <f>ROUND(SUM(G29)-SUM(C29),1)</f>
        <v>-0.2</v>
      </c>
      <c r="J29" s="1613"/>
      <c r="K29" s="2502">
        <v>0</v>
      </c>
      <c r="L29" s="1611"/>
      <c r="M29" s="1608"/>
      <c r="N29" s="1611"/>
      <c r="O29" s="1608"/>
      <c r="P29" s="1608"/>
      <c r="Q29" s="1608"/>
      <c r="R29" s="1611"/>
      <c r="S29" s="1612"/>
      <c r="T29" s="1589"/>
      <c r="U29" s="1612"/>
      <c r="V29" s="1589"/>
      <c r="W29" s="1612"/>
      <c r="X29" s="1613"/>
      <c r="Y29" s="1589"/>
      <c r="Z29" s="1589"/>
      <c r="AA29" s="1589"/>
      <c r="AB29" s="1589"/>
      <c r="AC29" s="1589"/>
      <c r="AD29" s="1589"/>
      <c r="AE29" s="1589"/>
    </row>
    <row r="30" spans="1:31">
      <c r="A30" s="1443" t="s">
        <v>109</v>
      </c>
      <c r="B30" s="1613" t="s">
        <v>15</v>
      </c>
      <c r="C30" s="1894">
        <v>94</v>
      </c>
      <c r="D30" s="1544"/>
      <c r="E30" s="2829">
        <v>0</v>
      </c>
      <c r="F30" s="1042"/>
      <c r="G30" s="2829">
        <f>'Exhibit F'!AC126</f>
        <v>101.39999999999982</v>
      </c>
      <c r="H30" s="1042"/>
      <c r="I30" s="1042">
        <f>ROUND(SUM(G30)-SUM(C30),1)</f>
        <v>7.4</v>
      </c>
      <c r="J30" s="1613"/>
      <c r="K30" s="2502">
        <v>0</v>
      </c>
      <c r="L30" s="1674"/>
      <c r="M30" s="1608"/>
      <c r="N30" s="1609"/>
      <c r="O30" s="1608"/>
      <c r="P30" s="1608"/>
      <c r="Q30" s="1608"/>
      <c r="R30" s="1611"/>
      <c r="S30" s="1612"/>
      <c r="T30" s="1589"/>
      <c r="U30" s="1612"/>
      <c r="V30" s="1589"/>
      <c r="W30" s="1612"/>
      <c r="X30" s="1613"/>
      <c r="Y30" s="1589"/>
      <c r="Z30" s="1589"/>
      <c r="AA30" s="1589"/>
      <c r="AB30" s="1589"/>
      <c r="AC30" s="1589"/>
      <c r="AD30" s="1589"/>
      <c r="AE30" s="1589"/>
    </row>
    <row r="31" spans="1:31" ht="18" customHeight="1">
      <c r="A31" s="363" t="s">
        <v>110</v>
      </c>
      <c r="B31" s="341" t="s">
        <v>15</v>
      </c>
      <c r="C31" s="3120">
        <f>ROUND(SUM(C20:C30),1)</f>
        <v>7689</v>
      </c>
      <c r="D31" s="301"/>
      <c r="E31" s="3120">
        <f>ROUND(SUM(E20:E30),1)</f>
        <v>0</v>
      </c>
      <c r="F31" s="1587"/>
      <c r="G31" s="406">
        <f>ROUND(SUM(G20:G30),1)</f>
        <v>7628.3</v>
      </c>
      <c r="H31" s="1587"/>
      <c r="I31" s="517">
        <f>ROUND(SUM(I20:I30),1)</f>
        <v>-60.7</v>
      </c>
      <c r="J31" s="341"/>
      <c r="K31" s="517">
        <f>ROUND(SUM(K20:K30),1)</f>
        <v>0</v>
      </c>
      <c r="L31" s="264"/>
      <c r="M31" s="264"/>
      <c r="N31" s="264"/>
      <c r="O31" s="264"/>
      <c r="P31" s="264"/>
      <c r="Q31" s="264"/>
      <c r="R31" s="264"/>
      <c r="S31" s="341"/>
      <c r="T31" s="341"/>
      <c r="U31" s="341"/>
      <c r="V31" s="341"/>
      <c r="W31" s="341"/>
      <c r="X31" s="341"/>
      <c r="Y31" s="341"/>
      <c r="Z31" s="341"/>
      <c r="AA31" s="341"/>
      <c r="AB31" s="341"/>
      <c r="AC31" s="341"/>
      <c r="AD31" s="341"/>
      <c r="AE31" s="341"/>
    </row>
    <row r="32" spans="1:31">
      <c r="A32" s="1212"/>
      <c r="B32" s="1589"/>
      <c r="C32" s="3121"/>
      <c r="D32" s="1544"/>
      <c r="E32" s="3121"/>
      <c r="F32" s="1042"/>
      <c r="G32" s="1210"/>
      <c r="H32" s="1042"/>
      <c r="I32" s="1608"/>
      <c r="J32" s="1589"/>
      <c r="K32" s="1608"/>
      <c r="L32" s="1608"/>
      <c r="M32" s="1608"/>
      <c r="N32" s="1608"/>
      <c r="O32" s="1608"/>
      <c r="P32" s="1608"/>
      <c r="Q32" s="1608"/>
      <c r="R32" s="1608"/>
      <c r="S32" s="1589"/>
      <c r="T32" s="1589"/>
      <c r="U32" s="1589"/>
      <c r="V32" s="1589"/>
      <c r="W32" s="1589"/>
      <c r="X32" s="1589"/>
      <c r="Y32" s="1589"/>
      <c r="Z32" s="1589"/>
      <c r="AA32" s="1589"/>
      <c r="AB32" s="1589"/>
      <c r="AC32" s="1589"/>
      <c r="AD32" s="1589"/>
      <c r="AE32" s="1589"/>
    </row>
    <row r="33" spans="1:31" ht="15.75">
      <c r="A33" s="216" t="s">
        <v>23</v>
      </c>
      <c r="B33" s="1589"/>
      <c r="C33" s="1544"/>
      <c r="D33" s="1544"/>
      <c r="E33" s="1544"/>
      <c r="F33" s="1042"/>
      <c r="G33" s="1042"/>
      <c r="H33" s="1042"/>
      <c r="I33" s="1042"/>
      <c r="J33" s="1589"/>
      <c r="K33" s="1608"/>
      <c r="L33" s="1608"/>
      <c r="M33" s="1608"/>
      <c r="N33" s="1608"/>
      <c r="O33" s="1608"/>
      <c r="P33" s="1608"/>
      <c r="Q33" s="1608"/>
      <c r="R33" s="1608"/>
      <c r="S33" s="1589"/>
      <c r="T33" s="1589"/>
      <c r="U33" s="1589"/>
      <c r="V33" s="1589"/>
      <c r="W33" s="1589"/>
      <c r="X33" s="1589"/>
      <c r="Y33" s="1589"/>
      <c r="Z33" s="1589"/>
      <c r="AA33" s="1589"/>
      <c r="AB33" s="1589"/>
      <c r="AC33" s="1589"/>
      <c r="AD33" s="1589"/>
      <c r="AE33" s="1589"/>
    </row>
    <row r="34" spans="1:31">
      <c r="A34" s="1443" t="s">
        <v>95</v>
      </c>
      <c r="B34" s="1610" t="s">
        <v>15</v>
      </c>
      <c r="C34" s="1894">
        <v>3037</v>
      </c>
      <c r="D34" s="1544"/>
      <c r="E34" s="1894">
        <v>0</v>
      </c>
      <c r="F34" s="1042"/>
      <c r="G34" s="1188">
        <f>+'Exhibit F'!AC110</f>
        <v>3035.8000000000006</v>
      </c>
      <c r="H34" s="1042"/>
      <c r="I34" s="1042">
        <f>ROUND(SUM(G34)-SUM(C34),1)</f>
        <v>-1.2</v>
      </c>
      <c r="J34" s="1589"/>
      <c r="K34" s="2502">
        <v>0</v>
      </c>
      <c r="L34" s="1609"/>
      <c r="M34" s="1608"/>
      <c r="N34" s="1609"/>
      <c r="O34" s="1608"/>
      <c r="P34" s="1608"/>
      <c r="Q34" s="1608"/>
      <c r="R34" s="1611"/>
      <c r="S34" s="1612"/>
      <c r="T34" s="1589"/>
      <c r="U34" s="1612"/>
      <c r="V34" s="1589"/>
      <c r="W34" s="1612"/>
      <c r="X34" s="1613"/>
      <c r="Y34" s="1589"/>
      <c r="Z34" s="1589"/>
      <c r="AA34" s="1589"/>
      <c r="AB34" s="1589"/>
      <c r="AC34" s="1589"/>
      <c r="AD34" s="1589"/>
      <c r="AE34" s="1589"/>
    </row>
    <row r="35" spans="1:31">
      <c r="A35" s="1443" t="s">
        <v>96</v>
      </c>
      <c r="B35" s="1610" t="s">
        <v>15</v>
      </c>
      <c r="C35" s="1894">
        <v>822</v>
      </c>
      <c r="D35" s="1544"/>
      <c r="E35" s="1894">
        <v>0</v>
      </c>
      <c r="F35" s="1042"/>
      <c r="G35" s="1188">
        <f>+'Exhibit F'!AC112+'Exhibit F'!AC113</f>
        <v>831.59999999999991</v>
      </c>
      <c r="H35" s="1042"/>
      <c r="I35" s="1042">
        <f>ROUND(SUM(G35)-SUM(C35),1)</f>
        <v>9.6</v>
      </c>
      <c r="J35" s="1589"/>
      <c r="K35" s="2502">
        <v>0</v>
      </c>
      <c r="L35" s="1609"/>
      <c r="M35" s="1608"/>
      <c r="N35" s="1609"/>
      <c r="O35" s="1608"/>
      <c r="P35" s="1608"/>
      <c r="Q35" s="1608"/>
      <c r="R35" s="1609"/>
      <c r="S35" s="1610"/>
      <c r="T35" s="1589"/>
      <c r="U35" s="1610"/>
      <c r="V35" s="1589"/>
      <c r="W35" s="1612"/>
      <c r="X35" s="1589"/>
      <c r="Y35" s="1589"/>
      <c r="Z35" s="1612"/>
      <c r="AA35" s="1612"/>
      <c r="AB35" s="1589"/>
      <c r="AC35" s="1612"/>
      <c r="AD35" s="1589"/>
      <c r="AE35" s="1612"/>
    </row>
    <row r="36" spans="1:31">
      <c r="A36" s="1443" t="s">
        <v>71</v>
      </c>
      <c r="B36" s="1610" t="s">
        <v>15</v>
      </c>
      <c r="C36" s="1894">
        <v>2705</v>
      </c>
      <c r="D36" s="1544"/>
      <c r="E36" s="1894">
        <v>0</v>
      </c>
      <c r="F36" s="1042"/>
      <c r="G36" s="1188">
        <f>+'Exhibit F'!AC114</f>
        <v>2706.6</v>
      </c>
      <c r="H36" s="1042"/>
      <c r="I36" s="1042">
        <f>ROUND(SUM(G36)-SUM(C36),1)</f>
        <v>1.6</v>
      </c>
      <c r="J36" s="1589"/>
      <c r="K36" s="2502">
        <v>0</v>
      </c>
      <c r="L36" s="1609"/>
      <c r="M36" s="1608"/>
      <c r="N36" s="1609"/>
      <c r="O36" s="1608"/>
      <c r="P36" s="1608"/>
      <c r="Q36" s="1608"/>
      <c r="R36" s="1611"/>
      <c r="S36" s="1612"/>
      <c r="T36" s="1589"/>
      <c r="U36" s="1612"/>
      <c r="V36" s="1589"/>
      <c r="W36" s="1612"/>
      <c r="X36" s="1613"/>
      <c r="Y36" s="1589"/>
      <c r="Z36" s="1612"/>
      <c r="AA36" s="1612"/>
      <c r="AB36" s="1589"/>
      <c r="AC36" s="1612"/>
      <c r="AD36" s="1589"/>
      <c r="AE36" s="1612"/>
    </row>
    <row r="37" spans="1:31" ht="18" customHeight="1">
      <c r="A37" s="1443" t="s">
        <v>111</v>
      </c>
      <c r="B37" s="1613"/>
      <c r="C37" s="1117"/>
      <c r="D37" s="1544"/>
      <c r="E37" s="1117"/>
      <c r="F37" s="1042"/>
      <c r="G37" s="1117"/>
      <c r="H37" s="1042"/>
      <c r="I37" s="1042"/>
      <c r="J37" s="1613"/>
      <c r="K37" s="2502" t="s">
        <v>15</v>
      </c>
      <c r="L37" s="1674"/>
      <c r="M37" s="1608"/>
      <c r="N37" s="1674"/>
      <c r="O37" s="1608"/>
      <c r="P37" s="1608"/>
      <c r="Q37" s="1608"/>
      <c r="R37" s="1611"/>
      <c r="S37" s="1612"/>
      <c r="T37" s="1589"/>
      <c r="U37" s="1612"/>
      <c r="V37" s="1589"/>
      <c r="W37" s="1612"/>
      <c r="X37" s="1613"/>
      <c r="Y37" s="1589"/>
      <c r="Z37" s="1589"/>
      <c r="AA37" s="1589"/>
      <c r="AB37" s="1589"/>
      <c r="AC37" s="1589"/>
      <c r="AD37" s="1589"/>
      <c r="AE37" s="1589"/>
    </row>
    <row r="38" spans="1:31">
      <c r="A38" s="1443" t="s">
        <v>112</v>
      </c>
      <c r="B38" s="1613" t="s">
        <v>15</v>
      </c>
      <c r="C38" s="1894">
        <v>253</v>
      </c>
      <c r="D38" s="1544"/>
      <c r="E38" s="1894">
        <v>0</v>
      </c>
      <c r="F38" s="1042"/>
      <c r="G38" s="1207">
        <f>-'Exhibit F'!AC130</f>
        <v>192.3</v>
      </c>
      <c r="H38" s="1042"/>
      <c r="I38" s="1042">
        <f>ROUND(SUM(G38)-SUM(C38),1)</f>
        <v>-60.7</v>
      </c>
      <c r="J38" s="1613"/>
      <c r="K38" s="2502">
        <v>0</v>
      </c>
      <c r="L38" s="1611"/>
      <c r="M38" s="1608"/>
      <c r="N38" s="1611"/>
      <c r="O38" s="1608"/>
      <c r="P38" s="1608"/>
      <c r="Q38" s="1608"/>
      <c r="R38" s="1611"/>
      <c r="S38" s="1612"/>
      <c r="T38" s="1589"/>
      <c r="U38" s="1612"/>
      <c r="V38" s="1589"/>
      <c r="W38" s="1612"/>
      <c r="X38" s="1613"/>
      <c r="Y38" s="1589"/>
      <c r="Z38" s="1589"/>
      <c r="AA38" s="1589"/>
      <c r="AB38" s="1589"/>
      <c r="AC38" s="1589"/>
      <c r="AD38" s="1589"/>
      <c r="AE38" s="1589"/>
    </row>
    <row r="39" spans="1:31">
      <c r="A39" s="1443" t="s">
        <v>113</v>
      </c>
      <c r="B39" s="1613" t="s">
        <v>15</v>
      </c>
      <c r="C39" s="1894">
        <v>58</v>
      </c>
      <c r="D39" s="1544"/>
      <c r="E39" s="1894">
        <v>0</v>
      </c>
      <c r="F39" s="1042"/>
      <c r="G39" s="1207">
        <f>-'Exhibit F'!AC127-'Exhibit F'!AC128-'Exhibit F'!AC129</f>
        <v>54.4</v>
      </c>
      <c r="H39" s="2502" t="s">
        <v>15</v>
      </c>
      <c r="I39" s="1042">
        <f>ROUND(SUM(G39)-SUM(C39),1)</f>
        <v>-3.6</v>
      </c>
      <c r="J39" s="1613"/>
      <c r="K39" s="2502">
        <v>0</v>
      </c>
      <c r="L39" s="1611"/>
      <c r="M39" s="1608"/>
      <c r="N39" s="1611"/>
      <c r="O39" s="1608"/>
      <c r="P39" s="1608"/>
      <c r="Q39" s="1608"/>
      <c r="R39" s="1611"/>
      <c r="S39" s="1612"/>
      <c r="T39" s="1589"/>
      <c r="U39" s="1612"/>
      <c r="V39" s="1589"/>
      <c r="W39" s="1612"/>
      <c r="X39" s="1613"/>
      <c r="Y39" s="1589"/>
      <c r="Z39" s="1589"/>
      <c r="AA39" s="1589"/>
      <c r="AB39" s="1589"/>
      <c r="AC39" s="1589"/>
      <c r="AD39" s="1589"/>
      <c r="AE39" s="1589"/>
    </row>
    <row r="40" spans="1:31">
      <c r="A40" s="1443" t="s">
        <v>114</v>
      </c>
      <c r="B40" s="1613" t="s">
        <v>15</v>
      </c>
      <c r="C40" s="1894">
        <v>0</v>
      </c>
      <c r="D40" s="1544"/>
      <c r="E40" s="1894">
        <v>0</v>
      </c>
      <c r="F40" s="1042"/>
      <c r="G40" s="2515">
        <v>8.6</v>
      </c>
      <c r="H40" s="2502" t="s">
        <v>115</v>
      </c>
      <c r="I40" s="1042">
        <f>ROUND(SUM(G40)-SUM(C40),1)</f>
        <v>8.6</v>
      </c>
      <c r="J40" s="1613"/>
      <c r="K40" s="2502">
        <v>0</v>
      </c>
      <c r="L40" s="1611"/>
      <c r="M40" s="1608"/>
      <c r="N40" s="1611"/>
      <c r="O40" s="1608"/>
      <c r="P40" s="1608"/>
      <c r="Q40" s="1608"/>
      <c r="R40" s="1611"/>
      <c r="S40" s="1612"/>
      <c r="T40" s="1589"/>
      <c r="U40" s="1612"/>
      <c r="V40" s="1589"/>
      <c r="W40" s="1612"/>
      <c r="X40" s="1613"/>
      <c r="Y40" s="1589"/>
      <c r="Z40" s="1589"/>
      <c r="AA40" s="1589"/>
      <c r="AB40" s="1589"/>
      <c r="AC40" s="1589"/>
      <c r="AD40" s="1589"/>
      <c r="AE40" s="1589"/>
    </row>
    <row r="41" spans="1:31">
      <c r="A41" s="1443" t="s">
        <v>116</v>
      </c>
      <c r="B41" s="1613" t="s">
        <v>117</v>
      </c>
      <c r="C41" s="1894">
        <v>218</v>
      </c>
      <c r="D41" s="1544"/>
      <c r="E41" s="1894">
        <v>0</v>
      </c>
      <c r="F41" s="1042"/>
      <c r="G41" s="2515">
        <v>218</v>
      </c>
      <c r="H41" s="1042"/>
      <c r="I41" s="1042">
        <f>ROUND(SUM(G41)-SUM(C41),1)</f>
        <v>0</v>
      </c>
      <c r="J41" s="1613"/>
      <c r="K41" s="2502">
        <v>0</v>
      </c>
      <c r="L41" s="1611"/>
      <c r="M41" s="1608"/>
      <c r="N41" s="1611"/>
      <c r="O41" s="1608"/>
      <c r="P41" s="1608"/>
      <c r="Q41" s="1608"/>
      <c r="R41" s="1611"/>
      <c r="S41" s="1612"/>
      <c r="T41" s="1589"/>
      <c r="U41" s="1612"/>
      <c r="V41" s="1589"/>
      <c r="W41" s="1612"/>
      <c r="X41" s="1613"/>
      <c r="Y41" s="1589"/>
      <c r="Z41" s="1589"/>
      <c r="AA41" s="1589"/>
      <c r="AB41" s="1589"/>
      <c r="AC41" s="1589"/>
      <c r="AD41" s="1589"/>
      <c r="AE41" s="1589"/>
    </row>
    <row r="42" spans="1:31">
      <c r="A42" s="1443" t="s">
        <v>118</v>
      </c>
      <c r="B42" s="1613" t="s">
        <v>15</v>
      </c>
      <c r="C42" s="1894">
        <v>95</v>
      </c>
      <c r="D42" s="1544"/>
      <c r="E42" s="1207">
        <v>0</v>
      </c>
      <c r="F42" s="1042"/>
      <c r="G42" s="1207">
        <v>88.5</v>
      </c>
      <c r="H42" s="1042"/>
      <c r="I42" s="1042">
        <f>ROUND(SUM(G42)-SUM(C42),1)</f>
        <v>-6.5</v>
      </c>
      <c r="J42" s="1613"/>
      <c r="K42" s="2502">
        <v>0</v>
      </c>
      <c r="L42" s="1674"/>
      <c r="M42" s="1608"/>
      <c r="N42" s="1609"/>
      <c r="O42" s="1608"/>
      <c r="P42" s="1608"/>
      <c r="Q42" s="1608"/>
      <c r="R42" s="1611"/>
      <c r="S42" s="1612"/>
      <c r="T42" s="1589"/>
      <c r="U42" s="1612"/>
      <c r="V42" s="1589"/>
      <c r="W42" s="1612"/>
      <c r="X42" s="1613"/>
      <c r="Y42" s="1589"/>
      <c r="Z42" s="1589"/>
      <c r="AA42" s="1589"/>
      <c r="AB42" s="1589"/>
      <c r="AC42" s="1589"/>
      <c r="AD42" s="1589"/>
      <c r="AE42" s="1589"/>
    </row>
    <row r="43" spans="1:31" ht="18" customHeight="1">
      <c r="A43" s="363" t="s">
        <v>119</v>
      </c>
      <c r="B43" s="341" t="s">
        <v>15</v>
      </c>
      <c r="C43" s="3120">
        <f>ROUND(SUM(C34:C42),1)</f>
        <v>7188</v>
      </c>
      <c r="D43" s="301"/>
      <c r="E43" s="3120">
        <f>ROUND(SUM(E34:E42),1)</f>
        <v>0</v>
      </c>
      <c r="F43" s="1587"/>
      <c r="G43" s="406">
        <f>ROUND(SUM(G34:G42),1)</f>
        <v>7135.8</v>
      </c>
      <c r="H43" s="1587"/>
      <c r="I43" s="517">
        <f>ROUND(SUM(I34:I42),1)</f>
        <v>-52.2</v>
      </c>
      <c r="J43" s="341"/>
      <c r="K43" s="517">
        <f>ROUND(SUM(K34:K42),1)</f>
        <v>0</v>
      </c>
      <c r="L43" s="264"/>
      <c r="M43" s="264"/>
      <c r="N43" s="264"/>
      <c r="O43" s="264"/>
      <c r="P43" s="264"/>
      <c r="Q43" s="264"/>
      <c r="R43" s="264"/>
      <c r="S43" s="341"/>
      <c r="T43" s="341"/>
      <c r="U43" s="341"/>
      <c r="V43" s="341"/>
      <c r="W43" s="341"/>
      <c r="X43" s="341"/>
      <c r="Y43" s="341"/>
      <c r="Z43" s="341"/>
      <c r="AA43" s="341"/>
      <c r="AB43" s="341"/>
      <c r="AC43" s="341"/>
      <c r="AD43" s="341"/>
      <c r="AE43" s="341"/>
    </row>
    <row r="44" spans="1:31">
      <c r="A44" s="1212"/>
      <c r="B44" s="1589"/>
      <c r="C44" s="3121"/>
      <c r="D44" s="1544"/>
      <c r="E44" s="3121"/>
      <c r="F44" s="1042"/>
      <c r="G44" s="1210"/>
      <c r="H44" s="1042"/>
      <c r="I44" s="1608"/>
      <c r="J44" s="1589"/>
      <c r="K44" s="1608"/>
      <c r="L44" s="1608"/>
      <c r="M44" s="1608"/>
      <c r="N44" s="1608"/>
      <c r="O44" s="1608"/>
      <c r="P44" s="1608"/>
      <c r="Q44" s="1608"/>
      <c r="R44" s="1608"/>
      <c r="S44" s="1589"/>
      <c r="T44" s="1589"/>
      <c r="U44" s="1589"/>
      <c r="V44" s="1589"/>
      <c r="W44" s="1589"/>
      <c r="X44" s="1589"/>
      <c r="Y44" s="1589"/>
      <c r="Z44" s="1589"/>
      <c r="AA44" s="1589"/>
      <c r="AB44" s="1589"/>
      <c r="AC44" s="1589"/>
      <c r="AD44" s="1589"/>
      <c r="AE44" s="1589"/>
    </row>
    <row r="45" spans="1:31" ht="15.75">
      <c r="A45" s="216" t="s">
        <v>120</v>
      </c>
      <c r="B45" s="1589"/>
      <c r="C45" s="1544"/>
      <c r="D45" s="1544"/>
      <c r="E45" s="1544"/>
      <c r="F45" s="1042"/>
      <c r="G45" s="1042"/>
      <c r="H45" s="1042"/>
      <c r="I45" s="1042"/>
      <c r="J45" s="1589"/>
      <c r="K45" s="1608"/>
      <c r="L45" s="1608"/>
      <c r="M45" s="1608"/>
      <c r="N45" s="1608"/>
      <c r="O45" s="1608"/>
      <c r="P45" s="1608"/>
      <c r="Q45" s="1608"/>
      <c r="R45" s="1608"/>
      <c r="S45" s="1589"/>
      <c r="T45" s="1589"/>
      <c r="U45" s="1589"/>
      <c r="V45" s="1589"/>
      <c r="W45" s="1589"/>
      <c r="X45" s="1589"/>
      <c r="Y45" s="1589"/>
      <c r="Z45" s="1589"/>
      <c r="AA45" s="1589"/>
      <c r="AB45" s="1589"/>
      <c r="AC45" s="1589"/>
      <c r="AD45" s="1589"/>
      <c r="AE45" s="1589"/>
    </row>
    <row r="46" spans="1:31" ht="15.75">
      <c r="A46" s="216" t="s">
        <v>121</v>
      </c>
      <c r="B46" s="1589"/>
      <c r="C46" s="1544"/>
      <c r="D46" s="1544"/>
      <c r="E46" s="1544"/>
      <c r="F46" s="1042"/>
      <c r="G46" s="1042"/>
      <c r="H46" s="1042"/>
      <c r="I46" s="1042"/>
      <c r="J46" s="1589"/>
      <c r="K46" s="1608"/>
      <c r="L46" s="1608"/>
      <c r="M46" s="1608"/>
      <c r="N46" s="1608"/>
      <c r="O46" s="1608"/>
      <c r="P46" s="1608"/>
      <c r="Q46" s="1608"/>
      <c r="R46" s="1608"/>
      <c r="S46" s="1589"/>
      <c r="T46" s="1589"/>
      <c r="U46" s="1589"/>
      <c r="V46" s="1589"/>
      <c r="W46" s="1589"/>
      <c r="X46" s="1589"/>
      <c r="Y46" s="1589"/>
      <c r="Z46" s="1589"/>
      <c r="AA46" s="1589"/>
      <c r="AB46" s="1589"/>
      <c r="AC46" s="1589"/>
      <c r="AD46" s="1589"/>
      <c r="AE46" s="1589"/>
    </row>
    <row r="47" spans="1:31" ht="15.75">
      <c r="A47" s="363" t="s">
        <v>104</v>
      </c>
      <c r="B47" s="1586" t="s">
        <v>15</v>
      </c>
      <c r="C47" s="304">
        <f>ROUND(SUM(C31)-SUM(C43),1)</f>
        <v>501</v>
      </c>
      <c r="D47" s="1853"/>
      <c r="E47" s="304">
        <f>ROUND(SUM(E31)-SUM(E43),1)</f>
        <v>0</v>
      </c>
      <c r="F47" s="273"/>
      <c r="G47" s="264">
        <f>ROUND(SUM(G31)-SUM(G43),1)</f>
        <v>492.5</v>
      </c>
      <c r="H47" s="273"/>
      <c r="I47" s="264">
        <f>ROUND(SUM(I31)-SUM(I43),1)</f>
        <v>-8.5</v>
      </c>
      <c r="J47" s="341"/>
      <c r="K47" s="264">
        <f>ROUND(SUM(K31)-SUM(K43),1)</f>
        <v>0</v>
      </c>
      <c r="L47" s="264"/>
      <c r="M47" s="692"/>
      <c r="N47" s="264"/>
      <c r="O47" s="692"/>
      <c r="P47" s="264"/>
      <c r="Q47" s="692"/>
      <c r="R47" s="264"/>
      <c r="S47" s="341"/>
      <c r="T47" s="364"/>
      <c r="U47" s="341"/>
      <c r="V47" s="364"/>
      <c r="W47" s="341"/>
      <c r="X47" s="341"/>
      <c r="Y47" s="364"/>
      <c r="Z47" s="341"/>
      <c r="AA47" s="341"/>
      <c r="AB47" s="364"/>
      <c r="AC47" s="341"/>
      <c r="AD47" s="364"/>
      <c r="AE47" s="341"/>
    </row>
    <row r="48" spans="1:31" ht="15" customHeight="1">
      <c r="C48" s="2383"/>
      <c r="D48" s="2748"/>
      <c r="E48" s="2383"/>
      <c r="F48" s="1597"/>
      <c r="G48" s="1131"/>
      <c r="H48" s="1597"/>
      <c r="I48" s="264"/>
      <c r="J48" s="341"/>
      <c r="K48" s="264"/>
      <c r="L48" s="1131"/>
      <c r="M48" s="1131"/>
      <c r="N48" s="1131"/>
      <c r="O48" s="1131"/>
      <c r="P48" s="1131"/>
      <c r="Q48" s="1131"/>
      <c r="R48" s="1131"/>
    </row>
    <row r="49" spans="1:18" ht="15.75">
      <c r="A49" s="1679" t="str">
        <f>'Exh D-Governmental  '!A49</f>
        <v>Fund Balances (Deficits) at April 1</v>
      </c>
      <c r="B49" s="1021" t="s">
        <v>15</v>
      </c>
      <c r="C49" s="304">
        <f>ROUND('Exhibit F'!D14,0)</f>
        <v>9445</v>
      </c>
      <c r="D49" s="2748"/>
      <c r="E49" s="304">
        <v>0</v>
      </c>
      <c r="F49" s="1597"/>
      <c r="G49" s="264">
        <f>'Exhibit F'!AC14</f>
        <v>9445</v>
      </c>
      <c r="H49" s="1597"/>
      <c r="I49" s="270">
        <f>ROUND(SUM(G49-C49),1)</f>
        <v>0</v>
      </c>
      <c r="J49" s="341"/>
      <c r="K49" s="1587">
        <v>0</v>
      </c>
      <c r="L49" s="264"/>
      <c r="M49" s="1131"/>
      <c r="N49" s="264"/>
      <c r="O49" s="1131"/>
      <c r="P49" s="270"/>
      <c r="Q49" s="1131"/>
      <c r="R49" s="1131"/>
    </row>
    <row r="50" spans="1:18" ht="18" customHeight="1" thickBot="1">
      <c r="A50" s="363" t="str">
        <f>'Exh D-Governmental  '!A50</f>
        <v>Fund Balances (Deficits) at April 30, 2018</v>
      </c>
      <c r="B50" s="370" t="s">
        <v>15</v>
      </c>
      <c r="C50" s="3389">
        <f>ROUND(SUM(C47:C49),1)</f>
        <v>9946</v>
      </c>
      <c r="D50" s="3390"/>
      <c r="E50" s="3389">
        <f>ROUND(SUM(E47:E49),1)</f>
        <v>0</v>
      </c>
      <c r="F50" s="371"/>
      <c r="G50" s="287">
        <f>ROUND(SUM(G47:G49),1)</f>
        <v>9937.5</v>
      </c>
      <c r="H50" s="371"/>
      <c r="I50" s="287">
        <f>ROUND(SUM(I47:I49),1)</f>
        <v>-8.5</v>
      </c>
      <c r="J50" s="341"/>
      <c r="K50" s="287">
        <f>ROUND(SUM(K47:K49),1)</f>
        <v>0</v>
      </c>
      <c r="L50" s="410"/>
      <c r="M50" s="1675"/>
      <c r="N50" s="410"/>
      <c r="O50" s="1675"/>
      <c r="P50" s="410"/>
    </row>
    <row r="51" spans="1:18" ht="15" customHeight="1" thickTop="1">
      <c r="A51" s="345"/>
      <c r="G51" s="1021"/>
      <c r="J51" s="1021"/>
      <c r="L51" s="1211"/>
      <c r="M51" s="1676"/>
      <c r="N51" s="1676"/>
      <c r="O51" s="1676"/>
      <c r="P51" s="1676"/>
    </row>
    <row r="52" spans="1:18">
      <c r="A52" s="1601" t="str">
        <f>'Exh D-Governmental  '!A52</f>
        <v>(*)    Source: 2018-19 Enacted Financial Plan dated May 11, 2018.</v>
      </c>
      <c r="M52" s="1021"/>
      <c r="N52" s="1021"/>
      <c r="O52" s="1021"/>
      <c r="P52" s="1021"/>
    </row>
    <row r="53" spans="1:18">
      <c r="A53" s="2405" t="s">
        <v>1520</v>
      </c>
      <c r="M53" s="1021"/>
      <c r="N53" s="1021"/>
      <c r="O53" s="1021"/>
      <c r="P53" s="1021"/>
    </row>
    <row r="54" spans="1:18">
      <c r="A54" s="2405" t="s">
        <v>1523</v>
      </c>
      <c r="M54" s="1021"/>
      <c r="N54" s="1021"/>
      <c r="O54" s="1021"/>
      <c r="P54" s="1021"/>
    </row>
    <row r="55" spans="1:18">
      <c r="A55" s="2405" t="s">
        <v>15</v>
      </c>
      <c r="M55" s="1021"/>
      <c r="N55" s="1021"/>
      <c r="O55" s="1021"/>
      <c r="P55" s="1021"/>
    </row>
    <row r="56" spans="1:18">
      <c r="A56" s="1615"/>
      <c r="M56" s="1021"/>
      <c r="N56" s="1021"/>
      <c r="O56" s="1021"/>
      <c r="P56" s="1021"/>
    </row>
    <row r="57" spans="1:18">
      <c r="M57" s="1021"/>
      <c r="N57" s="1021"/>
      <c r="O57" s="1021"/>
      <c r="P57" s="1021"/>
    </row>
    <row r="58" spans="1:18">
      <c r="A58" s="394"/>
      <c r="C58" s="3524"/>
      <c r="M58" s="1021"/>
      <c r="N58" s="1021"/>
      <c r="O58" s="1021"/>
      <c r="P58" s="1021"/>
    </row>
    <row r="59" spans="1:18">
      <c r="A59" s="394"/>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60" firstPageNumber="9"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77</vt:i4>
      </vt:variant>
    </vt:vector>
  </HeadingPairs>
  <TitlesOfParts>
    <vt:vector size="120"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Exhibit I</vt:lpstr>
      <vt:lpstr>Exhibit I State</vt:lpstr>
      <vt:lpstr>Exhibit I Federal</vt:lpstr>
      <vt:lpstr>Exhibit J</vt:lpstr>
      <vt:lpstr>Exhibit K</vt:lpstr>
      <vt:lpstr>EXHIBIT L</vt:lpstr>
      <vt:lpstr>EXHIBIT M</vt:lpstr>
      <vt:lpstr>Sch 1 </vt:lpstr>
      <vt:lpstr>Sch 2 </vt:lpstr>
      <vt:lpstr>Sch 3 </vt:lpstr>
      <vt:lpstr>Sch 4</vt:lpstr>
      <vt:lpstr>Sch 5 </vt:lpstr>
      <vt:lpstr>Sch 5a</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Footnotes!Page_2</vt:lpstr>
      <vt:lpstr>'Sch 4'!page1</vt:lpstr>
      <vt:lpstr>'Table of Contents'!page1</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I'!Print_Area</vt:lpstr>
      <vt:lpstr>'Exhibit I Federal'!Print_Area</vt:lpstr>
      <vt:lpstr>'Exhibit I State'!Print_Area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5a'!Print_Area</vt:lpstr>
      <vt:lpstr>'Sch 6'!Print_Area</vt:lpstr>
      <vt:lpstr>'Table of Contents'!Print_Area</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I'!Print_Titles</vt:lpstr>
      <vt:lpstr>'Exhibit I Federal'!Print_Titles</vt:lpstr>
      <vt:lpstr>'Exhibit I State'!Print_Titles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2018-05-15T20:00:19Z</dcterms:created>
  <dcterms:modified xsi:type="dcterms:W3CDTF">2018-05-15T20:52:32Z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